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er.sharepoint.com/sites/HIERopgewekt/Hier Opgewekt/006. Lokale Energie Monitor/LEM 2021/00 LEM definitief/Bijlagen/"/>
    </mc:Choice>
  </mc:AlternateContent>
  <xr:revisionPtr revIDLastSave="3" documentId="8_{8189E36E-0E60-4BB9-867E-4B5F7AB4792E}" xr6:coauthVersionLast="47" xr6:coauthVersionMax="47" xr10:uidLastSave="{35366B04-2AFD-4763-BBDF-C7902CAF54DA}"/>
  <bookViews>
    <workbookView xWindow="-110" yWindow="-110" windowWidth="19420" windowHeight="10420" xr2:uid="{00000000-000D-0000-FFFF-FFFF00000000}"/>
  </bookViews>
  <sheets>
    <sheet name="WIND gerealiseerd en in aanbouw" sheetId="1" r:id="rId1"/>
    <sheet name="WIND - gepland, voorbereiding" sheetId="15" r:id="rId2"/>
    <sheet name="WIND - plannen stopgezet" sheetId="16" r:id="rId3"/>
    <sheet name="Dorps-EAZ molens projecten" sheetId="14" r:id="rId4"/>
  </sheets>
  <definedNames>
    <definedName name="_xlnm.Print_Area" localSheetId="3">'Dorps-EAZ molens projecten'!$L$17:$L$48</definedName>
    <definedName name="_xlnm.Print_Area" localSheetId="1">'WIND - gepland, voorbereiding'!#REF!</definedName>
    <definedName name="_xlnm.Print_Area" localSheetId="2">'WIND - plannen stopgezet'!$H$17:$J$36</definedName>
    <definedName name="_xlnm.Print_Area" localSheetId="0">'WIND gerealiseerd en in aanbouw'!#REF!</definedName>
    <definedName name="_xlnm.Print_Titles" localSheetId="3">'Dorps-EAZ molens projecten'!$B:$G,'Dorps-EAZ molens projecten'!$1:$16</definedName>
    <definedName name="_xlnm.Print_Titles" localSheetId="1">'WIND - gepland, voorbereiding'!$B:$H,'WIND - gepland, voorbereiding'!$2:$17</definedName>
    <definedName name="_xlnm.Print_Titles" localSheetId="2">'WIND - plannen stopgezet'!$B:$H,'WIND - plannen stopgezet'!$2:$16</definedName>
    <definedName name="_xlnm.Print_Titles" localSheetId="0">'WIND gerealiseerd en in aanbouw'!$B:$H,'WIND gerealiseerd en in aanbouw'!$1:$17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9" i="14" l="1"/>
  <c r="M59" i="14"/>
  <c r="N21" i="14"/>
  <c r="M21" i="14"/>
  <c r="Q20" i="14"/>
  <c r="P20" i="14"/>
  <c r="Q35" i="16"/>
  <c r="T34" i="16"/>
  <c r="S34" i="16"/>
  <c r="T33" i="16"/>
  <c r="S33" i="16"/>
  <c r="T31" i="16"/>
  <c r="S31" i="16"/>
  <c r="Q29" i="16"/>
  <c r="S28" i="16"/>
  <c r="Q28" i="16"/>
  <c r="T25" i="16"/>
  <c r="S24" i="16"/>
  <c r="T24" i="16" s="1"/>
  <c r="Q24" i="16"/>
  <c r="T22" i="16"/>
  <c r="Q22" i="16"/>
  <c r="Q19" i="16"/>
  <c r="X59" i="15"/>
  <c r="X58" i="15"/>
  <c r="X57" i="15"/>
  <c r="X56" i="15"/>
  <c r="X55" i="15"/>
  <c r="X53" i="15"/>
  <c r="T53" i="15"/>
  <c r="S53" i="15"/>
  <c r="X52" i="15"/>
  <c r="T51" i="15"/>
  <c r="S51" i="15"/>
  <c r="X50" i="15"/>
  <c r="X49" i="15"/>
  <c r="T49" i="15"/>
  <c r="S49" i="15"/>
  <c r="S48" i="15"/>
  <c r="Q48" i="15"/>
  <c r="T48" i="15" s="1"/>
  <c r="X47" i="15"/>
  <c r="X46" i="15"/>
  <c r="T46" i="15"/>
  <c r="S46" i="15"/>
  <c r="S41" i="15"/>
  <c r="Q41" i="15"/>
  <c r="X41" i="15" s="1"/>
  <c r="X40" i="15"/>
  <c r="T39" i="15"/>
  <c r="Q39" i="15"/>
  <c r="X39" i="15" s="1"/>
  <c r="X35" i="15"/>
  <c r="X34" i="15"/>
  <c r="S33" i="15"/>
  <c r="Q33" i="15"/>
  <c r="T33" i="15" s="1"/>
  <c r="X45" i="15"/>
  <c r="S44" i="15"/>
  <c r="Q44" i="15"/>
  <c r="T44" i="15" s="1"/>
  <c r="X30" i="15"/>
  <c r="S43" i="15"/>
  <c r="Q43" i="15"/>
  <c r="X43" i="15" s="1"/>
  <c r="X42" i="15"/>
  <c r="Q36" i="15"/>
  <c r="X36" i="15" s="1"/>
  <c r="X38" i="15"/>
  <c r="S32" i="15"/>
  <c r="Q32" i="15"/>
  <c r="X32" i="15" s="1"/>
  <c r="X31" i="15"/>
  <c r="T31" i="15"/>
  <c r="X37" i="15"/>
  <c r="T29" i="15"/>
  <c r="Q29" i="15"/>
  <c r="X29" i="15" s="1"/>
  <c r="S28" i="15"/>
  <c r="Q28" i="15"/>
  <c r="X28" i="15" s="1"/>
  <c r="S27" i="15"/>
  <c r="Q27" i="15"/>
  <c r="X27" i="15" s="1"/>
  <c r="S26" i="15"/>
  <c r="Q26" i="15"/>
  <c r="X26" i="15" s="1"/>
  <c r="S25" i="15"/>
  <c r="Q25" i="15"/>
  <c r="X25" i="15" s="1"/>
  <c r="X24" i="15"/>
  <c r="X20" i="15"/>
  <c r="T20" i="15"/>
  <c r="S20" i="15"/>
  <c r="X23" i="15"/>
  <c r="T23" i="15"/>
  <c r="S23" i="15"/>
  <c r="X22" i="15"/>
  <c r="S19" i="15"/>
  <c r="Q19" i="15"/>
  <c r="X19" i="15" s="1"/>
  <c r="X18" i="15"/>
  <c r="T18" i="15"/>
  <c r="S18" i="15"/>
  <c r="S21" i="15"/>
  <c r="Q21" i="15"/>
  <c r="T21" i="15" s="1"/>
  <c r="T28" i="16" l="1"/>
  <c r="X33" i="15"/>
  <c r="T41" i="15"/>
  <c r="X48" i="15"/>
  <c r="T28" i="15"/>
  <c r="T26" i="15"/>
  <c r="T19" i="15"/>
  <c r="X44" i="15"/>
  <c r="X21" i="15"/>
  <c r="T27" i="15"/>
  <c r="T25" i="15"/>
  <c r="T32" i="15"/>
  <c r="T43" i="15"/>
  <c r="X125" i="1"/>
  <c r="X74" i="1" l="1"/>
  <c r="X117" i="1" l="1"/>
  <c r="X51" i="1" l="1"/>
  <c r="X49" i="1"/>
  <c r="X53" i="1" l="1"/>
  <c r="X50" i="1"/>
  <c r="X93" i="1"/>
  <c r="X24" i="1"/>
  <c r="X27" i="1"/>
  <c r="X30" i="1"/>
  <c r="X31" i="1"/>
  <c r="X32" i="1"/>
  <c r="X34" i="1"/>
  <c r="X38" i="1"/>
  <c r="X39" i="1"/>
  <c r="X43" i="1"/>
  <c r="X59" i="1"/>
  <c r="X69" i="1"/>
  <c r="X67" i="1"/>
  <c r="X60" i="1"/>
  <c r="X61" i="1"/>
  <c r="X63" i="1"/>
  <c r="X64" i="1"/>
  <c r="X66" i="1"/>
  <c r="X71" i="1"/>
  <c r="X57" i="1"/>
  <c r="X72" i="1"/>
  <c r="X79" i="1"/>
  <c r="X80" i="1"/>
  <c r="X82" i="1"/>
  <c r="X103" i="1"/>
  <c r="X95" i="1"/>
  <c r="X97" i="1"/>
  <c r="X86" i="1"/>
  <c r="X90" i="1"/>
  <c r="X94" i="1"/>
  <c r="X100" i="1"/>
  <c r="X88" i="1"/>
  <c r="X87" i="1"/>
  <c r="X96" i="1"/>
  <c r="X92" i="1"/>
  <c r="X120" i="1"/>
  <c r="X112" i="1"/>
  <c r="X119" i="1"/>
  <c r="X113" i="1"/>
  <c r="X114" i="1"/>
  <c r="X121" i="1"/>
  <c r="X76" i="1"/>
  <c r="X25" i="1"/>
  <c r="X77" i="1"/>
  <c r="X106" i="1"/>
  <c r="X108" i="1"/>
  <c r="X110" i="1"/>
  <c r="X107" i="1"/>
  <c r="X109" i="1"/>
  <c r="X123" i="1"/>
  <c r="X124" i="1"/>
  <c r="X122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Q43" i="14" l="1"/>
  <c r="X45" i="1" l="1"/>
  <c r="N33" i="14" l="1"/>
  <c r="P42" i="14" l="1"/>
  <c r="N42" i="14"/>
  <c r="Q42" i="14" s="1"/>
  <c r="Q18" i="14"/>
  <c r="P18" i="14"/>
  <c r="X37" i="1"/>
  <c r="X118" i="1"/>
  <c r="X44" i="1" l="1"/>
  <c r="X23" i="1" l="1"/>
  <c r="Q37" i="14"/>
  <c r="N37" i="14"/>
  <c r="N27" i="14"/>
  <c r="M27" i="14"/>
  <c r="N64" i="14"/>
  <c r="M64" i="14"/>
  <c r="N62" i="14"/>
  <c r="M62" i="14"/>
  <c r="N61" i="14"/>
  <c r="M61" i="14"/>
  <c r="N60" i="14"/>
  <c r="M60" i="14"/>
  <c r="N58" i="14"/>
  <c r="M58" i="14"/>
  <c r="N57" i="14"/>
  <c r="M57" i="14"/>
  <c r="N56" i="14"/>
  <c r="M56" i="14"/>
  <c r="N55" i="14"/>
  <c r="M55" i="14"/>
  <c r="N54" i="14"/>
  <c r="M54" i="14"/>
  <c r="X29" i="1" l="1"/>
  <c r="X105" i="1" l="1"/>
  <c r="X104" i="1" l="1"/>
  <c r="X48" i="1" l="1"/>
  <c r="X47" i="1" l="1"/>
  <c r="X55" i="1" l="1"/>
  <c r="X19" i="1" l="1"/>
  <c r="X20" i="1"/>
  <c r="X99" i="1" l="1"/>
  <c r="X33" i="1"/>
  <c r="X101" i="1"/>
  <c r="X36" i="1"/>
  <c r="X35" i="1"/>
  <c r="X42" i="1"/>
  <c r="X62" i="1"/>
  <c r="X26" i="1"/>
  <c r="X58" i="1"/>
  <c r="X91" i="1"/>
  <c r="X98" i="1"/>
  <c r="X73" i="1"/>
  <c r="X54" i="1"/>
  <c r="X81" i="1"/>
  <c r="X75" i="1" l="1"/>
  <c r="X28" i="1"/>
  <c r="X70" i="1"/>
  <c r="X115" i="1"/>
  <c r="X52" i="1"/>
  <c r="X22" i="1"/>
  <c r="X65" i="1"/>
  <c r="X116" i="1"/>
  <c r="X102" i="1" l="1"/>
  <c r="X89" i="1"/>
  <c r="X68" i="1"/>
</calcChain>
</file>

<file path=xl/sharedStrings.xml><?xml version="1.0" encoding="utf-8"?>
<sst xmlns="http://schemas.openxmlformats.org/spreadsheetml/2006/main" count="1931" uniqueCount="653">
  <si>
    <t>Breda</t>
  </si>
  <si>
    <t>Groningen</t>
  </si>
  <si>
    <t>coöperatie</t>
  </si>
  <si>
    <t>Schiedam</t>
  </si>
  <si>
    <t>SDE</t>
  </si>
  <si>
    <t>Amsterdam</t>
  </si>
  <si>
    <t>Gelderland</t>
  </si>
  <si>
    <t>Noord-Holland</t>
  </si>
  <si>
    <t>Zuid-Holland</t>
  </si>
  <si>
    <t>Friesland</t>
  </si>
  <si>
    <t>Nijmegen</t>
  </si>
  <si>
    <t>onbekend</t>
  </si>
  <si>
    <t>Eneco</t>
  </si>
  <si>
    <t>Den Helder</t>
  </si>
  <si>
    <t>Overijssel</t>
  </si>
  <si>
    <t>Moerdijk</t>
  </si>
  <si>
    <t>Noord-Brabant</t>
  </si>
  <si>
    <t>Drenthe</t>
  </si>
  <si>
    <t>Qurrent</t>
  </si>
  <si>
    <t>Zoetermeer</t>
  </si>
  <si>
    <t>Utrecht</t>
  </si>
  <si>
    <t>Amersfoort</t>
  </si>
  <si>
    <t>Arnhem</t>
  </si>
  <si>
    <t>Deltawind</t>
  </si>
  <si>
    <t>Zwolle</t>
  </si>
  <si>
    <t>Lingewaard</t>
  </si>
  <si>
    <t>GrunnegerPower</t>
  </si>
  <si>
    <t>postcoderoos</t>
  </si>
  <si>
    <t>voorbereiding</t>
  </si>
  <si>
    <t>Leeuwarden</t>
  </si>
  <si>
    <t>Deltawind/ Zeeuwind</t>
  </si>
  <si>
    <t>Zeeland</t>
  </si>
  <si>
    <t>Zeeuwind</t>
  </si>
  <si>
    <t>Marken</t>
  </si>
  <si>
    <t>Zeeuwind/ Dreischor</t>
  </si>
  <si>
    <t>Zeeuwind/ Olaz Stort</t>
  </si>
  <si>
    <t>Zeeuwind/ Stavenisse</t>
  </si>
  <si>
    <t>Bath</t>
  </si>
  <si>
    <t>Dreischor</t>
  </si>
  <si>
    <t>Wilhelminadorp</t>
  </si>
  <si>
    <t>Nieuwdorp</t>
  </si>
  <si>
    <t>Westkapelle</t>
  </si>
  <si>
    <t>Stavenisse</t>
  </si>
  <si>
    <t>Kats</t>
  </si>
  <si>
    <t>Kapelle</t>
  </si>
  <si>
    <t>Nuon, Triodosbank, grondeigenaar</t>
  </si>
  <si>
    <t>Sint-Maartensdijk</t>
  </si>
  <si>
    <t>Oude Tonge</t>
  </si>
  <si>
    <t>Zeeuwind/ Estlandweg II</t>
  </si>
  <si>
    <t>Winvast B.V.</t>
  </si>
  <si>
    <t>Nieuw Vennep</t>
  </si>
  <si>
    <t>Meerwind</t>
  </si>
  <si>
    <t>Noordenwind</t>
  </si>
  <si>
    <t>diverse locaties</t>
  </si>
  <si>
    <t>Witmarsum</t>
  </si>
  <si>
    <t>12 partijen</t>
  </si>
  <si>
    <t>Noordenwind/ totaal solitaire molens</t>
  </si>
  <si>
    <t>Kennemerwind</t>
  </si>
  <si>
    <t>Windpark Burgervlotbrug</t>
  </si>
  <si>
    <t xml:space="preserve">Windpark Zijpe </t>
  </si>
  <si>
    <t>toerekening 50%</t>
  </si>
  <si>
    <t>De Windvogel</t>
  </si>
  <si>
    <t>CW Waterland</t>
  </si>
  <si>
    <t>Culemborg</t>
  </si>
  <si>
    <t>Den Haag</t>
  </si>
  <si>
    <t>gerealiseerd</t>
  </si>
  <si>
    <t>gepland</t>
  </si>
  <si>
    <t>Alkmaar</t>
  </si>
  <si>
    <t>Deventer</t>
  </si>
  <si>
    <t>Hollandse Kroon</t>
  </si>
  <si>
    <t>Achterhoek</t>
  </si>
  <si>
    <t>Vianen</t>
  </si>
  <si>
    <t>Limburg</t>
  </si>
  <si>
    <t>Flevoland</t>
  </si>
  <si>
    <t>Tilburg</t>
  </si>
  <si>
    <t>Neer</t>
  </si>
  <si>
    <t>Almere</t>
  </si>
  <si>
    <t>Ooltgensplaat/ Goerree Overflakkee</t>
  </si>
  <si>
    <t>Dalfsen</t>
  </si>
  <si>
    <t>windpark</t>
  </si>
  <si>
    <t>De Coöperatie Win Duurzame Energie</t>
  </si>
  <si>
    <t>Wilnis</t>
  </si>
  <si>
    <t>Hazeldonk</t>
  </si>
  <si>
    <t>Apeldoorn</t>
  </si>
  <si>
    <t xml:space="preserve">deA </t>
  </si>
  <si>
    <t>Zuidenwind</t>
  </si>
  <si>
    <t>Stichting WIEK (Windenergie Kubaard)</t>
  </si>
  <si>
    <t>Kubaard</t>
  </si>
  <si>
    <t>WP Anna Paulowna/ Lagerweij Exploitatie BV</t>
  </si>
  <si>
    <t>alleen participatie</t>
  </si>
  <si>
    <t>VogelWijkEnergiek (uit gebruik genomen 2015)</t>
  </si>
  <si>
    <t>VogelWijkEnergiek (bestaande molen overgenomen 2012)</t>
  </si>
  <si>
    <t>Burgervlotbrug</t>
  </si>
  <si>
    <t>Deltawind/ Oud Tonge (locatie Suyderlandt)</t>
  </si>
  <si>
    <t>Nijverdal</t>
  </si>
  <si>
    <t>Leudal</t>
  </si>
  <si>
    <t>Nuon, ECN, Windcollectief Wieringermeer</t>
  </si>
  <si>
    <t xml:space="preserve">Lansingerland </t>
  </si>
  <si>
    <t>projectA15 (Milieudefensie/ NMF Zuid-Holland)</t>
  </si>
  <si>
    <t>Zeewolde</t>
  </si>
  <si>
    <t>Oudekerk a/d Amstel</t>
  </si>
  <si>
    <t>Reggestroom/ Cooperatie Hellendoorn</t>
  </si>
  <si>
    <t>Burgervlot</t>
  </si>
  <si>
    <t>11% eigendom</t>
  </si>
  <si>
    <t>20% eigendom</t>
  </si>
  <si>
    <t>12% eigendom windpark</t>
  </si>
  <si>
    <t>7,75% eigendom windpark</t>
  </si>
  <si>
    <t>50% eigendom windpark</t>
  </si>
  <si>
    <t>Duurzaam Menterwolde</t>
  </si>
  <si>
    <t>Pekela Duurzaam</t>
  </si>
  <si>
    <t>HEC (wehe den Hoorn)</t>
  </si>
  <si>
    <t>Tinallinge</t>
  </si>
  <si>
    <t>Loppersum</t>
  </si>
  <si>
    <t>Dezo/ windturbine (vervanging)</t>
  </si>
  <si>
    <t>Zutphen</t>
  </si>
  <si>
    <t>Oss</t>
  </si>
  <si>
    <t>Wommels</t>
  </si>
  <si>
    <t>Hitsum</t>
  </si>
  <si>
    <t>Fereining Doarpsmunen Wyns, Bartlehiem, Tergreft</t>
  </si>
  <si>
    <t>Stichting Wynturbine De Twa Doarpen te Wiewerd</t>
  </si>
  <si>
    <t>Reahus</t>
  </si>
  <si>
    <t>Reduzum</t>
  </si>
  <si>
    <t>Tzum</t>
  </si>
  <si>
    <t>Dorpsmolen Skuzum te Skuzum</t>
  </si>
  <si>
    <t>Dorpsmolen Tjerkweerd</t>
  </si>
  <si>
    <t>Dorpsmolen Tenaard</t>
  </si>
  <si>
    <t>Dorpsmolen Dearsum</t>
  </si>
  <si>
    <t>Ridderkerk</t>
  </si>
  <si>
    <t>Borger-Odoorn</t>
  </si>
  <si>
    <t>Oude Ijsselstreek</t>
  </si>
  <si>
    <t>Izzy projects, Green trust</t>
  </si>
  <si>
    <t>Zuidwolde</t>
  </si>
  <si>
    <t>Steendam</t>
  </si>
  <si>
    <t>Winsum</t>
  </si>
  <si>
    <t>Tytsjerksteradiel</t>
  </si>
  <si>
    <t>BlauwVingerEnergie</t>
  </si>
  <si>
    <t>Zeeuwind/ WestKapelle</t>
  </si>
  <si>
    <t>Zeeuwind/ particpatie wind op Zee (windpark zeeland)</t>
  </si>
  <si>
    <t>Dorpsmolen Sint Philipsland</t>
  </si>
  <si>
    <t>Initiatiefgroep</t>
  </si>
  <si>
    <t>Hof van Twente</t>
  </si>
  <si>
    <t>Wijchen</t>
  </si>
  <si>
    <t>DeventerEnergie</t>
  </si>
  <si>
    <t>Andijk</t>
  </si>
  <si>
    <t>Terheijden</t>
  </si>
  <si>
    <t>Zoeterwoude</t>
  </si>
  <si>
    <t>Schildwolde</t>
  </si>
  <si>
    <t>voor 2012</t>
  </si>
  <si>
    <t>Peel en Maas</t>
  </si>
  <si>
    <t>Raedthuys</t>
  </si>
  <si>
    <t>STOPGEZET</t>
  </si>
  <si>
    <t>Gouda</t>
  </si>
  <si>
    <t>ONTWIKKELAAR</t>
  </si>
  <si>
    <t>REGELING</t>
  </si>
  <si>
    <t>PROJECTNAAM</t>
  </si>
  <si>
    <t>GEMEENTE</t>
  </si>
  <si>
    <t>PROVINCIE</t>
  </si>
  <si>
    <t>De Ronde Venen</t>
  </si>
  <si>
    <t>Ijmuiden</t>
  </si>
  <si>
    <t>Hellendoorn</t>
  </si>
  <si>
    <t>Eemsmond (Kantens)</t>
  </si>
  <si>
    <t>Dordrecht</t>
  </si>
  <si>
    <t>Bergerden</t>
  </si>
  <si>
    <t>Lingewaard Energie</t>
  </si>
  <si>
    <t>Neerijnen</t>
  </si>
  <si>
    <t>Someren</t>
  </si>
  <si>
    <t>DuurzaamDuurswold</t>
  </si>
  <si>
    <t>Weert</t>
  </si>
  <si>
    <t>E-Connection</t>
  </si>
  <si>
    <t>Medemblik</t>
  </si>
  <si>
    <t>Nederweert</t>
  </si>
  <si>
    <t>Staatsbosbeheer</t>
  </si>
  <si>
    <t>Terneuzen</t>
  </si>
  <si>
    <t>BRES</t>
  </si>
  <si>
    <t>Zeeuwind/ Goede Sas</t>
  </si>
  <si>
    <t>Windpostcoderoos/ Andijk  (vervanging van WWC Adelaar)</t>
  </si>
  <si>
    <t>Fryslan foar de Wyn (regionale planvorming meerdere turbines)</t>
  </si>
  <si>
    <t>dorpsmolenstichting</t>
  </si>
  <si>
    <t>Eendragt</t>
  </si>
  <si>
    <t>Súdwest-Fryslân</t>
  </si>
  <si>
    <t>Peel Energie</t>
  </si>
  <si>
    <t>Montfoort</t>
  </si>
  <si>
    <t>Veere</t>
  </si>
  <si>
    <t>Goeree-Overflakkee</t>
  </si>
  <si>
    <t>Reimerswaal</t>
  </si>
  <si>
    <t>Vlaardingen</t>
  </si>
  <si>
    <t>Drimmelen</t>
  </si>
  <si>
    <t>Deltawind/ Windpark Blaakweg (2e lijn Battenoert)</t>
  </si>
  <si>
    <t>Waadhoeke</t>
  </si>
  <si>
    <t>Venlo</t>
  </si>
  <si>
    <t>PLAATS</t>
  </si>
  <si>
    <t xml:space="preserve">Waterleiding Maatschappij Limburg (WML) </t>
  </si>
  <si>
    <t>Meerstad</t>
  </si>
  <si>
    <t>Meerkracht</t>
  </si>
  <si>
    <t xml:space="preserve">STATUS </t>
  </si>
  <si>
    <t>Midwolde/ Niekerk</t>
  </si>
  <si>
    <t>Zijpe</t>
  </si>
  <si>
    <t>Schagen</t>
  </si>
  <si>
    <t>code</t>
  </si>
  <si>
    <t xml:space="preserve"> 50% eigenaar; andere deel  eigendom van de ECD (samenwerking tussen HVC en gemeente Dordrecht)</t>
  </si>
  <si>
    <t>Zaanstad</t>
  </si>
  <si>
    <t>Assendelft</t>
  </si>
  <si>
    <t>Rivierenland</t>
  </si>
  <si>
    <t>6 gemeenten</t>
  </si>
  <si>
    <t>VERMOGEN (KW)</t>
  </si>
  <si>
    <t xml:space="preserve">Familie Kristen (initiatiefnemers) </t>
  </si>
  <si>
    <t>COÖPERATIEF -%</t>
  </si>
  <si>
    <t>AANTAL WIND-TURBINES</t>
  </si>
  <si>
    <t xml:space="preserve"> Ambt Delden</t>
  </si>
  <si>
    <t>Geldermalsen</t>
  </si>
  <si>
    <t>Uwind</t>
  </si>
  <si>
    <t>Windcentrale</t>
  </si>
  <si>
    <t>Noordbroek</t>
  </si>
  <si>
    <t>WIND- OF LOKALE COÖPERATIE (S)</t>
  </si>
  <si>
    <t>VogelwijkEnergiek</t>
  </si>
  <si>
    <t xml:space="preserve">meerdere coöperaties: BergenEnergie, AlkmaarEnergie, CALorie, Heiloo Energie </t>
  </si>
  <si>
    <t>Meedhuizen</t>
  </si>
  <si>
    <t>Delfzijl</t>
  </si>
  <si>
    <t>Breneco Broukster Energie</t>
  </si>
  <si>
    <t>Schouwen-Duivenland</t>
  </si>
  <si>
    <t>Goes</t>
  </si>
  <si>
    <t>WinDuurzameEnergie/ windmolens</t>
  </si>
  <si>
    <t>DeEendragt/ deelname VOF Oosterwind (Helderse Cooperatieve Windmolenvereniging)</t>
  </si>
  <si>
    <t>Windcentrale/De Boerenzwaluw</t>
  </si>
  <si>
    <t>Meerwind/ kleine windturbine</t>
  </si>
  <si>
    <t>Tholen</t>
  </si>
  <si>
    <t>Drechtse Energie</t>
  </si>
  <si>
    <t>NBdB Greenpower, WindUnie</t>
  </si>
  <si>
    <t>Zeeuwind/ Polenweg (Olaz Compostering II vervangen)</t>
  </si>
  <si>
    <t>Zeeuwind/ Windturbinepark Oostzeedijk (vervanging Kats II)</t>
  </si>
  <si>
    <t>Noord-Beveland</t>
  </si>
  <si>
    <t>Zummere Power</t>
  </si>
  <si>
    <t>WEOM / Zeeuwind</t>
  </si>
  <si>
    <t>F.K.W.W.I. Wommels/ dorpsmolen</t>
  </si>
  <si>
    <t>EC Steendam</t>
  </si>
  <si>
    <t>EIK Kantens</t>
  </si>
  <si>
    <t>Energie-U</t>
  </si>
  <si>
    <t>Knotwilg/ windmolen De Grote Geus windpark Autena</t>
  </si>
  <si>
    <t>Staphorst</t>
  </si>
  <si>
    <t>Rouveen</t>
  </si>
  <si>
    <t>Weert Energie</t>
  </si>
  <si>
    <t>Almeerse Wind</t>
  </si>
  <si>
    <t xml:space="preserve">Doarsmune Reduzum </t>
  </si>
  <si>
    <t>Lopik</t>
  </si>
  <si>
    <t>Moleferiening uté Lyte/ dorpsmolen</t>
  </si>
  <si>
    <t>WinsumDuurzaam</t>
  </si>
  <si>
    <t>Lokale ondernemers</t>
  </si>
  <si>
    <t>Westfriese Windmolen Coöperatie (WWC)</t>
  </si>
  <si>
    <t>EC VoornePutten</t>
  </si>
  <si>
    <t>Samenwind</t>
  </si>
  <si>
    <t>Reestdal</t>
  </si>
  <si>
    <t>Nieuw Leusen Synergie</t>
  </si>
  <si>
    <t>Nieuwleusen</t>
  </si>
  <si>
    <t>Westenwind B.V.</t>
  </si>
  <si>
    <t>BRES, Anneville, ZonneWIJde, BerdaDuurzaam, PakhuisB</t>
  </si>
  <si>
    <t>Zundert</t>
  </si>
  <si>
    <t>Duurzame energiecoöperatie Zoetermeer (DeZo)</t>
  </si>
  <si>
    <t>DeEendragt/ deelname Windpark Westeinde Anna Paulowna (Helderse Cooperatieve Windmolenvereniging)</t>
  </si>
  <si>
    <t>DeEendragt/ eigen molen  (Helderse Cooperatieve Windmolenvereniging0</t>
  </si>
  <si>
    <t>Krammersluizen</t>
  </si>
  <si>
    <t>Deltawind Zeeuwind/ Windpark Krammer (2017)</t>
  </si>
  <si>
    <t>Deltawind Zeeuwind/ Windpark Krammer (2018)</t>
  </si>
  <si>
    <t>Deltawind Zeeuwind/ Windpark Krammer (2019)</t>
  </si>
  <si>
    <t>Leudal Energie</t>
  </si>
  <si>
    <t>Windcentrale/ projectcoöperatie</t>
  </si>
  <si>
    <t>Herbaijum</t>
  </si>
  <si>
    <t xml:space="preserve">Windpostcoderoos/ DE Wynroas Fan Reahus </t>
  </si>
  <si>
    <t>WWC Westfriese Windmolen Coöperatie/  Windpark West Frisia (deelname)</t>
  </si>
  <si>
    <t>Visser&amp;Smit Hanab, KWS</t>
  </si>
  <si>
    <t>Midden-Groningen</t>
  </si>
  <si>
    <t>Pekela</t>
  </si>
  <si>
    <t>Overschild</t>
  </si>
  <si>
    <t>Coöperatie Op de Tip</t>
  </si>
  <si>
    <t>Kornwerderzand</t>
  </si>
  <si>
    <t>De Windvogel/ Nieuwe Molenaars</t>
  </si>
  <si>
    <t>Alblasserwaard</t>
  </si>
  <si>
    <t>Arnhem/ Nijmegen</t>
  </si>
  <si>
    <t>Hart van Brabant</t>
  </si>
  <si>
    <t>Holland Rijnland</t>
  </si>
  <si>
    <t>Metropoolregio Eindhoven</t>
  </si>
  <si>
    <t>Midden-Holland</t>
  </si>
  <si>
    <t>Noord en Midden Limburg</t>
  </si>
  <si>
    <t>Noord-Holland Noord</t>
  </si>
  <si>
    <t>Noord-Holland Zuid</t>
  </si>
  <si>
    <t>Noord-oost Brabant</t>
  </si>
  <si>
    <t>Regio Amersfoort</t>
  </si>
  <si>
    <t>Regio Rotterdam-Den Haag</t>
  </si>
  <si>
    <t>Twente</t>
  </si>
  <si>
    <t>West Brabant</t>
  </si>
  <si>
    <t>West-Overijssel</t>
  </si>
  <si>
    <t>Drechtssteden</t>
  </si>
  <si>
    <t>Borne Energie/ EC Buren energie</t>
  </si>
  <si>
    <t>Maasdriel</t>
  </si>
  <si>
    <t>Beuningen</t>
  </si>
  <si>
    <t>Burgerbrug/ Zijpe</t>
  </si>
  <si>
    <t>Gorinchem</t>
  </si>
  <si>
    <t>De Knotwilg</t>
  </si>
  <si>
    <t xml:space="preserve">WWC Westfriese Windmolen Coöperatie/ sanering 2 windmolens </t>
  </si>
  <si>
    <t>Het Hogeland</t>
  </si>
  <si>
    <t>Poldermolen Wieringermeer (postcoderoos)</t>
  </si>
  <si>
    <t>25-33%</t>
  </si>
  <si>
    <t>De Windvogel/ Amsterdam Wind</t>
  </si>
  <si>
    <t>Coöperatie Boerderijweg</t>
  </si>
  <si>
    <t>Zuidenwind/ Newecoop</t>
  </si>
  <si>
    <t>Vrijstad Energie</t>
  </si>
  <si>
    <t>Brielle</t>
  </si>
  <si>
    <t xml:space="preserve">Deltawind/  Windpark Suyderlandt (uitbreiding) </t>
  </si>
  <si>
    <t>Noardeast-Fryslân</t>
  </si>
  <si>
    <t>Eneco/ Windpark IJmond (twee lokale ondernemers)</t>
  </si>
  <si>
    <t xml:space="preserve">Energiek Velsen </t>
  </si>
  <si>
    <t>Eneco Wind</t>
  </si>
  <si>
    <t>ESCOSS, Raedthuys</t>
  </si>
  <si>
    <t>EC Oss/ ESCOSS (bedrijven coöperatie)</t>
  </si>
  <si>
    <t>Maasluis</t>
  </si>
  <si>
    <t>Eneco/ Vattenfall</t>
  </si>
  <si>
    <t>Zwaagdijk-Oost/Westwoud</t>
  </si>
  <si>
    <t>Kennemerwind/ WindCollectief Noord-Holland BV</t>
  </si>
  <si>
    <t>Energie Collectief Waterweg</t>
  </si>
  <si>
    <t>Deltawind/  Windpark Piet de Wit II De Plaet (opschaling, vervangt I)</t>
  </si>
  <si>
    <t>Deltawind/ Windpark Piet de Wit De Plaet I</t>
  </si>
  <si>
    <t>Deltawind/ Windpark Piet de Wit De Plaet I (sanering)</t>
  </si>
  <si>
    <t>Zeeuwind/ Windpark Derde Dijk (verlengde Noordpolder)</t>
  </si>
  <si>
    <t>Zeeuwind/ Estlandweg I</t>
  </si>
  <si>
    <t>Zeeuwind/ Windpark Kats II</t>
  </si>
  <si>
    <t>Zeeuwind/ Windpark Noordpolder</t>
  </si>
  <si>
    <t>Zeeuwind/ Windpark Olaz Compostering II</t>
  </si>
  <si>
    <t xml:space="preserve">Zeeuwind/  Windpark Sint Maartensdijk </t>
  </si>
  <si>
    <t xml:space="preserve">Zeeuwind/ Windpark Reimerswaal Bath II </t>
  </si>
  <si>
    <t>Oosterscheldekering</t>
  </si>
  <si>
    <t>Wij Duurzaam Staphorst</t>
  </si>
  <si>
    <t>Waterschap Drents Overijsselse Delta (WDO Delta)</t>
  </si>
  <si>
    <t xml:space="preserve">Hoenzadriel </t>
  </si>
  <si>
    <t>Coöperatie Bommelerwaar</t>
  </si>
  <si>
    <t>Green Trust</t>
  </si>
  <si>
    <t>AANTAL WIND-TURBINES COÖPERATIEF</t>
  </si>
  <si>
    <t>VERMOGEN (KW) COÖPERATIEF</t>
  </si>
  <si>
    <t>E-Connection, Windforce-II</t>
  </si>
  <si>
    <t>Súdwest Fryslân</t>
  </si>
  <si>
    <t>De Nieuwe Molenaars</t>
  </si>
  <si>
    <t>Westerkwartier</t>
  </si>
  <si>
    <t>DoarsmuneReduzum/ Wynmole Reduzum oude molen</t>
  </si>
  <si>
    <t>Gouda, Bodegraven, Halsteren</t>
  </si>
  <si>
    <t>Stichting Doarpsmune Reahus (naar WindPostCodeRoos-coöperatie)</t>
  </si>
  <si>
    <t>Windcentrale/ Blauwe Reiger (1 turbine Windpark Burgervlotbrug)</t>
  </si>
  <si>
    <t>Windcentrale/ De Vier Winden (1 turbine Windpark Burgervlotbrug)</t>
  </si>
  <si>
    <t>Windcentrale/ Trouwe wachter (1 turbine Windpark Burgervlotbrug)</t>
  </si>
  <si>
    <t>Windcentrale/ Witte Juffer (windpark Culemborg)</t>
  </si>
  <si>
    <t>Windcentrale/ Het Vliegend Hert (1 turbine in windpark)</t>
  </si>
  <si>
    <t>Windcentrale/ De Ranke Zwaan (windpark Culemborg)</t>
  </si>
  <si>
    <t>Windcentrale/ Bonte Hen (1 turbine Windpark Burgervlotbrug)</t>
  </si>
  <si>
    <t>Windcentrale/ Rode Hert (windpark Culemborg)</t>
  </si>
  <si>
    <t>Windcentrale/Grote Geert (1 turbine grootschalig windpark Delfzijl-Zuid)</t>
  </si>
  <si>
    <t>Windcentrale/ Jonge Held (1 turbine grootschalig windpark Delfzijl-Zuid)</t>
  </si>
  <si>
    <t>Windvogel</t>
  </si>
  <si>
    <t>ECHT Hof van Twente (opgeheven)</t>
  </si>
  <si>
    <t>Samenstroom/ ReindonkEnergie</t>
  </si>
  <si>
    <t>niet van toepassing Almeerse wind</t>
  </si>
  <si>
    <t>Burum</t>
  </si>
  <si>
    <t xml:space="preserve">Waadhoeke </t>
  </si>
  <si>
    <t>Borsele</t>
  </si>
  <si>
    <t>NR</t>
  </si>
  <si>
    <t>RES-REGIO</t>
  </si>
  <si>
    <t>Cleantech regio</t>
  </si>
  <si>
    <t>'s-Hertogenbosch</t>
  </si>
  <si>
    <t>Alphen-Chaam</t>
  </si>
  <si>
    <t>Ouder-Amstel</t>
  </si>
  <si>
    <t>Wyns</t>
  </si>
  <si>
    <t>Westbetuwe</t>
  </si>
  <si>
    <t xml:space="preserve">ontwikkelfase 25%, overig windvast, yard energy </t>
  </si>
  <si>
    <t xml:space="preserve">Betuwewind, Burgerwindcoöperatie West-Betuwe  </t>
  </si>
  <si>
    <t>Yard Energy,  Raedthuys Pure Energie, Betuwewind (oorspronkelijk 11 duurzaam, Dorpscoöperatie Haaften i.o, Thermobello, DierckIII). Prodeon uitgekocht door Raedthuys in 2018/ 2019</t>
  </si>
  <si>
    <t>bouwfase</t>
  </si>
  <si>
    <t xml:space="preserve">deelname 4 van de 11 turbines (36%). In ontwikkelfase 25%, overig  yard energy, Raedthuys, Staatsbosbeheer.  </t>
  </si>
  <si>
    <t>Izzi Projects</t>
  </si>
  <si>
    <t>HVC, gemeente, Energie Samen</t>
  </si>
  <si>
    <t xml:space="preserve">Zeeuwind/ Windpark Borsele II </t>
  </si>
  <si>
    <t>Zeeuwind/ Windpark Cluster  (Oosterscheldekering - Binnenhaven)</t>
  </si>
  <si>
    <t>Zeeuwind/ Willem Anna Polder (W.A.P) II (ter vervanging van W.A.P)</t>
  </si>
  <si>
    <t>Zeeuwind/ Windpark Bouwdokken (Oosterscheldekering) - 2018</t>
  </si>
  <si>
    <t>Zeeuwind/ Windpark Bouwdokken (Oosterscheldekering) - 2020</t>
  </si>
  <si>
    <t>Zeeuwind/ Willem Anna Polder (W.A.P) (wordt vervangen door W.A.P II)</t>
  </si>
  <si>
    <t>NDSM Energie/ Amsterdam Wind: meerdere coöperaties</t>
  </si>
  <si>
    <t xml:space="preserve">AmsterdamWind/ NDSM Energie/  Westelijk Havengebied </t>
  </si>
  <si>
    <t>Zeeuwind/ Windpark Reimerswaal (voorbereiding nieuw windpark)</t>
  </si>
  <si>
    <t>Zeeuwind/ Windpark Axelsevlakte</t>
  </si>
  <si>
    <t>Sluiskil</t>
  </si>
  <si>
    <t xml:space="preserve">ENGIE Nederland. </t>
  </si>
  <si>
    <t>Waterschap Rijn en Ijssel</t>
  </si>
  <si>
    <t>Duurzaam Lopikerwaard, Energie Coöperatie Lek en IJssel Stroom</t>
  </si>
  <si>
    <t>EC Midwolde</t>
  </si>
  <si>
    <t>Deltawind Zeeuwind/ Windpark Krammer (2020, naar 60% aandelen)</t>
  </si>
  <si>
    <t>Camperwind BV (50%): coöperatie van agrariërs)</t>
  </si>
  <si>
    <t>Zeeuwind/ Windpark Paulinapolder</t>
  </si>
  <si>
    <t>Biervliet</t>
  </si>
  <si>
    <t>Coöperatieve ontwikkelvereniging Windpark Zeewolde. Pas na vergunningverlening is de tenaamstelling van de vergunningen voor 8 turbines overgedragen aan Eneco en Pure Energie.</t>
  </si>
  <si>
    <t>Windpostcoderoos/ Volksmolen Kornwerderzand (vervanging bestaande molen)</t>
  </si>
  <si>
    <t>NHEC, Cooperatie Poldermolen Wieringermeer</t>
  </si>
  <si>
    <t>Windmolen Boekel (HVC, coöperaties)</t>
  </si>
  <si>
    <t xml:space="preserve">Meerkracht/ E.A.Z. windmolens MeerstadWind </t>
  </si>
  <si>
    <t>PekelaDuurzaam/ E.A.Z. windmolens</t>
  </si>
  <si>
    <t>Paddepoel Energiek</t>
  </si>
  <si>
    <t>Vrijstad Windwinning/ Windpark  Culemborg</t>
  </si>
  <si>
    <t xml:space="preserve">REALISATIE [jaar] </t>
  </si>
  <si>
    <t>REALISATIE [jaar]</t>
  </si>
  <si>
    <t>PARTNERS</t>
  </si>
  <si>
    <t xml:space="preserve">Traais Energie Collectief </t>
  </si>
  <si>
    <t>Lek en IJsselstroom / De Copen (repowering 3 windturbines)</t>
  </si>
  <si>
    <t>Vattenfall Winddevelopment BV</t>
  </si>
  <si>
    <t>100% eigendom 2 windturbines, onderdeel van Windpark Rodenburg II</t>
  </si>
  <si>
    <t>Lek en IJsselstroom / Montfoort A12</t>
  </si>
  <si>
    <t>Energie Coöperatie Lek en IJssel Stroom</t>
  </si>
  <si>
    <t>Windunie</t>
  </si>
  <si>
    <t>Almere/ Zeewolde</t>
  </si>
  <si>
    <t>AmsterdamWind/ NDSM Energie/  Noorder IJplas Cornelis Douwesterrein</t>
  </si>
  <si>
    <t>3-5</t>
  </si>
  <si>
    <t>EnergieVoorVier/ windproject Beuningen  (combinatie met zon)</t>
  </si>
  <si>
    <t>Eneco (25%), Falck (25%)</t>
  </si>
  <si>
    <t>EnergieVoorVier</t>
  </si>
  <si>
    <t>Pure Energie (25%)/ Prowind (25%)</t>
  </si>
  <si>
    <t xml:space="preserve"> Windpark 4 turbines. Eigendom verdeeld in 2 BV's. RIJE eigenaar van  2/3 van 1 BV, met Prowind (1/3).</t>
  </si>
  <si>
    <t>3 turbines, ondergracht in twee aparte BV's. BV Ijsselwind met 2 windturbines is 100% coöperatief. 4 cooperaties zijn eigenaar. BrummenEnerergie 25%, LochemEnergie 25%, ZutphenEnergie (ZE) 25%, Energierijk Voorst 25%</t>
  </si>
  <si>
    <t>TOELICHTING EIGENDOM</t>
  </si>
  <si>
    <t>100% coöperatief eigendom: VEC (50%), Windvogel (50%)</t>
  </si>
  <si>
    <t>Rijne Energie/ De Windvogel</t>
  </si>
  <si>
    <t xml:space="preserve">50% coöperatief </t>
  </si>
  <si>
    <t>SCE (PCR)</t>
  </si>
  <si>
    <t xml:space="preserve">DoarsmuneReduzum/ Wynmole Reduzum oude molen (sanering) </t>
  </si>
  <si>
    <t xml:space="preserve">Dorpsmolen Tzum (Stichting MAST) oude molen </t>
  </si>
  <si>
    <t>DoarsmuneReduzum/ Wynmole Reduzum (nieuwe molen, vervanging)</t>
  </si>
  <si>
    <t xml:space="preserve">BWW Bossche Windmolen West Windpark De Rietvelden  </t>
  </si>
  <si>
    <t>Pure Energie/ Coöperatie BWW</t>
  </si>
  <si>
    <t xml:space="preserve">Pure Energie. Betrokken: Heineken Brouwerij ‘s-Hertogenbosch, containerterminal BCTN, sloop- en aannemersbedrijf Barten, de familie Pennings, duurzaam energiebedrijf </t>
  </si>
  <si>
    <t>Eneco (50%)</t>
  </si>
  <si>
    <t>gedeeld eigendom: coöperatie (50%), eneco (50%)</t>
  </si>
  <si>
    <t>100% coöperatief eigendom</t>
  </si>
  <si>
    <t>Eemsdelta</t>
  </si>
  <si>
    <t>Green Power delfzijl</t>
  </si>
  <si>
    <t>Eneco, Eurus, WP Geefswer (4 ondernemers)</t>
  </si>
  <si>
    <t>Zeeuwind/ EP Sloepoort (met lokale coöperatie)</t>
  </si>
  <si>
    <t>Zeeuwind/ WestKapelle (gesaneerd</t>
  </si>
  <si>
    <t>Zeeuwind/ Stavenisse (gesaneerd)</t>
  </si>
  <si>
    <t>Zeeuwind/ Olaz Compostering II (sanering, vervangen door Polenweg)</t>
  </si>
  <si>
    <t>Zeeuwind/ Dreischor (sanering)</t>
  </si>
  <si>
    <t>Zeeuwind/ Goede Sas (sanering)</t>
  </si>
  <si>
    <t xml:space="preserve">Zeeuwind/ Olaz Compostering II </t>
  </si>
  <si>
    <t>Energie Cooperatie Oudeschip en omstreken U.A.</t>
  </si>
  <si>
    <t>Prowind</t>
  </si>
  <si>
    <t xml:space="preserve">CWW Cooperatie Windenergie Waterland/ 2 molens </t>
  </si>
  <si>
    <t>(waarschijnlijk) alleen participatie</t>
  </si>
  <si>
    <t>Groene Stroom</t>
  </si>
  <si>
    <t>Windpostcoderoos/ Kennemerwind/ Volksmolen Zijpe (vervanging 1 windmolen WP Zijpe) - Windpostcoderoos</t>
  </si>
  <si>
    <t>Kennemerwind/ Windpark Zijpe - sanering 1 windmolen, vervanging door Volksmolen/ Windpostcoderoos)</t>
  </si>
  <si>
    <t xml:space="preserve">Kennemerwind/ Sanering windturbines voor Windpark Ferrum </t>
  </si>
  <si>
    <t>Heiershoeve</t>
  </si>
  <si>
    <t>Windunie, Greenchoice en ABN Amro Energy Transition Fund (vóór 2019: eigenaar ontwikkelrechten Etriplus)</t>
  </si>
  <si>
    <t>gesaneerd</t>
  </si>
  <si>
    <t>Regio U16</t>
  </si>
  <si>
    <t>Dit deel van DMO geen collectief eigendom</t>
  </si>
  <si>
    <t>VERMOGEN (KW) LOKALE PARTNER</t>
  </si>
  <si>
    <t>LOKALE PARTNER [ja/nee]</t>
  </si>
  <si>
    <t>nee</t>
  </si>
  <si>
    <t>ja</t>
  </si>
  <si>
    <t>Green Trust nieuwe partner (Eneco BV trekt zich terug)</t>
  </si>
  <si>
    <t>Grondeigenaar (10%)</t>
  </si>
  <si>
    <t>WIEK-II (Izzy projects, GNMF)</t>
  </si>
  <si>
    <t>LOKALE PARTNER [%]</t>
  </si>
  <si>
    <t>Infinergy (50%), Windcollectief Noord-Holland (50%)</t>
  </si>
  <si>
    <t>Promill BV (50%)</t>
  </si>
  <si>
    <t>Raedthuys (75%)</t>
  </si>
  <si>
    <t>zie Nieuwe Molenaars</t>
  </si>
  <si>
    <t>LOKAAL EIGENDOM TOTAAL (COOP+LOKALE PARTNER [%]</t>
  </si>
  <si>
    <t>Goede Buren: Greenchoice, WindUnie, Meewind. Transitiefonds</t>
  </si>
  <si>
    <t>Galder</t>
  </si>
  <si>
    <t>lokale stichting</t>
  </si>
  <si>
    <t>Stichting Energietransitie Moerdijk (STEM)</t>
  </si>
  <si>
    <t>Vattenfall Winddevelopment</t>
  </si>
  <si>
    <t>BOM Energiefonds Brabant</t>
  </si>
  <si>
    <t>BOM Energiefonds Brabant (25% lokaal eigendom)</t>
  </si>
  <si>
    <t>Energie A16  Zonzeel/ TraaisEC/  Windmolen De Noord cooperatie</t>
  </si>
  <si>
    <t>Energie A16 Galder/ Windpark - participatiefonds</t>
  </si>
  <si>
    <t>Energie A16  Klaverpolder/ Windpark - participatiefonds</t>
  </si>
  <si>
    <t>Energie A16  Hazeldonk/ Windparken  - participatiefonds</t>
  </si>
  <si>
    <t>Energie A16  Zonzeel/ Windpark - participatiefonds</t>
  </si>
  <si>
    <t>Energie A16  Nieuwveer/ Windpark - participatiefonds</t>
  </si>
  <si>
    <t xml:space="preserve">Energie A16  Klaverpolder/ Goede Buren/ Windpark Streepland  </t>
  </si>
  <si>
    <t>SamenEnergie/ windmolens Soesterwijk Wiek</t>
  </si>
  <si>
    <t>SamenEnergie (gelieerd: DuurzaamSoesterkwartier)</t>
  </si>
  <si>
    <t>gepland vertraging</t>
  </si>
  <si>
    <t>voorbereiding vertraging</t>
  </si>
  <si>
    <t xml:space="preserve">Zeeuwind/ Windpark Reimerswaal Bath II - sanering </t>
  </si>
  <si>
    <t>nieuwe eigenaar (niet coöperatief)</t>
  </si>
  <si>
    <t>WWC Westfriese Windmolen Coöperatie/ 4 windmolens (va 1988)</t>
  </si>
  <si>
    <t>WWC Westfriese Windmolen Coöperatie/  Windpark Andijk Wind deelname)</t>
  </si>
  <si>
    <t>alleen gebiedsfonds</t>
  </si>
  <si>
    <t>Waddenwind BV/ Gijzenberg Windenergie B.V. (13), Innogy SE (8)</t>
  </si>
  <si>
    <t>Rijnland Energie</t>
  </si>
  <si>
    <t>Prodeon</t>
  </si>
  <si>
    <t>Coöperatie BWW</t>
  </si>
  <si>
    <t>Buurtmolen Herbaijum</t>
  </si>
  <si>
    <t>Kolom5</t>
  </si>
  <si>
    <t>Ga voor meer info naar hieropgewekt.nl/lokale-energie-monitor</t>
  </si>
  <si>
    <t>Projecten: collectieve wind – gerealiseerd en in aanbouw</t>
  </si>
  <si>
    <t xml:space="preserve"> STATUS: 1. gerealiseerd (operationeel, in productie) en 2. in aanbouw/ bouwfase</t>
  </si>
  <si>
    <t>Lokale Energie Monitor 2021</t>
  </si>
  <si>
    <t xml:space="preserve">TIP: Je kunt sorteren door op het pijltje boven de kolom te klikken.  </t>
  </si>
  <si>
    <t>Projecten: collectieve wind – in de pijplijn</t>
  </si>
  <si>
    <t>STATUS: 3. gepland (vergunning verleend, SDE beschikt), inclusief sanering en 4. voorbereiding (locatie bekend, vergunningprocedure moet nog starten) en 5. gebiedsverkenning (nog geen locatie)</t>
  </si>
  <si>
    <t xml:space="preserve">Collectieve windprojecten: plannen stopgezet of liggen stil </t>
  </si>
  <si>
    <t>plannen stopgezet</t>
  </si>
  <si>
    <t>geen coöperatie betrokken</t>
  </si>
  <si>
    <t xml:space="preserve">Windpark De Drentse Monden en Oostermoer - overige deel windpark </t>
  </si>
  <si>
    <t>Windpark De Drentse Monden en Oostermoer - gedeelte DEE Exloërmond</t>
  </si>
  <si>
    <t>Windvogel windmolens Elzevogel en Appelvogel</t>
  </si>
  <si>
    <t>Nieuwe Molenaars Windmolen Zeewolde Gruttoweg</t>
  </si>
  <si>
    <t xml:space="preserve">De Nieuwe Molenaars (meerdere coöperaties: Zeenergie (Zeewolde), De Groene Reus (Almere) en bevriende coöperaties uit andere delen van het land: Kennemer Wind (Heerhugowaard), Meerwind (Nieuw Vennep), Zuiderlicht (Amsterdam), De Eendragt (Den Helder) en Zuidenwind (Leudal). </t>
  </si>
  <si>
    <t xml:space="preserve">Windpark Zeewolde - De Windvogel </t>
  </si>
  <si>
    <t>Windpark Zeewolde - De Nieuwe Molenaars</t>
  </si>
  <si>
    <t>Windpark A7 - aandeelhouder Stichting Dorpsmolen Pingjum</t>
  </si>
  <si>
    <t>Windpark A7 - aandeelhouder Noordenwind</t>
  </si>
  <si>
    <t>Windpark Deil</t>
  </si>
  <si>
    <t>Windpark Avri</t>
  </si>
  <si>
    <t>Coöperatie WPN (Windpower Nijmegen)</t>
  </si>
  <si>
    <t xml:space="preserve">Windpark Nijmegen-Betuwe </t>
  </si>
  <si>
    <t>Agem</t>
  </si>
  <si>
    <t>Windpark Netterden (alleen participatie)</t>
  </si>
  <si>
    <t>Windpark Koningspleij</t>
  </si>
  <si>
    <t>Rijn en Ijssel Energiecoöperatie (RIJE)</t>
  </si>
  <si>
    <t>Windpark Heibloem</t>
  </si>
  <si>
    <t>Zuidenwind (met Meerwind, Windvogel)</t>
  </si>
  <si>
    <t>Windmolen De Coöperwieck</t>
  </si>
  <si>
    <t>Windpark Ospeldijk</t>
  </si>
  <si>
    <t xml:space="preserve">Windpark Egchelse Heide </t>
  </si>
  <si>
    <t>Windpark Kookepan</t>
  </si>
  <si>
    <t>Windpark Grijze Heide Weert</t>
  </si>
  <si>
    <t>Windpark De Spinder</t>
  </si>
  <si>
    <t>Burgerwind De Spinder  (11 coöperaties: Berkel-Enschot, De Blaakse Energiecoöperatie, Duurzame energie Reeshof, EC  Udenhout, de Energiefabriek013; Hart van Brabant: Energie Dongen, Gilze Rijen, Loon op Zand, Hilverstroom, DEC Oisterwijk, Duurzaam Riel-Goirle).</t>
  </si>
  <si>
    <t>Windpark Hazeldonk-Breda (alleen participatie)</t>
  </si>
  <si>
    <t>Windvogel windmolen De Amstelvogel</t>
  </si>
  <si>
    <t xml:space="preserve">Meerwind/ windturbine Pionier </t>
  </si>
  <si>
    <t>Meerwind/ windturbine De (Nieuwe)Polderjongen</t>
  </si>
  <si>
    <t xml:space="preserve">Windpark Ferrum (mede-aandeelhouder Windcollectief Noord-Holland) </t>
  </si>
  <si>
    <t>Windpark Veur de Wind (eerst: Windpark Synergie)</t>
  </si>
  <si>
    <t>Windpark Kloosterlanden</t>
  </si>
  <si>
    <t>Windpark Houten (alleen participatie)</t>
  </si>
  <si>
    <t>Windvogel/ windmolens De Gouwevogel (vervanging 2019), De Windvogel/ De Volhouder  (stopgezet 2016)</t>
  </si>
  <si>
    <t>Windpark Hellegatsplein (overname Greenchoice)</t>
  </si>
  <si>
    <t>Windpark Hellegatsplein  (coöperatief tot overname)</t>
  </si>
  <si>
    <t>GEHELE WINDPARK</t>
  </si>
  <si>
    <t>COÖPERATIEF EIGENDOM WINDPARK</t>
  </si>
  <si>
    <t>Windpark Pampus Wind (sanering Jaap Rodenburg I)</t>
  </si>
  <si>
    <t>Windpark Pampus Wind (2 turbines in Windpark Jaap Rodenburg II)</t>
  </si>
  <si>
    <t>BurgerWindpark A2 Lage Rooijen</t>
  </si>
  <si>
    <t>Windpark Greenport Venlo (participatie)</t>
  </si>
  <si>
    <t>Windpark Bovenwind</t>
  </si>
  <si>
    <t>Windpark Landtong Rozenburg Waterweg (mogelijk fin. participatie)</t>
  </si>
  <si>
    <t>Windpark Oeverwind</t>
  </si>
  <si>
    <t>VEC Vlaardingen/ De Windvogel</t>
  </si>
  <si>
    <t xml:space="preserve">Windpark Groote Haar </t>
  </si>
  <si>
    <t xml:space="preserve">Windpark Nieuw Rijerswaard </t>
  </si>
  <si>
    <t>Windpark Krabbegors (Duivelseiland)</t>
  </si>
  <si>
    <t xml:space="preserve">Windpark Stichtsekant </t>
  </si>
  <si>
    <t>Windpark Zeewolde - sanering oude molen Gruttoweg</t>
  </si>
  <si>
    <t>&gt;2025</t>
  </si>
  <si>
    <t>Windpark Diepenhoek</t>
  </si>
  <si>
    <t>Windpark Eemshaven West</t>
  </si>
  <si>
    <t>Windvogel opschaling, nieuwe Amstelvogel</t>
  </si>
  <si>
    <t xml:space="preserve">Windpark Buren Energie ('Wind voor Buren') </t>
  </si>
  <si>
    <t xml:space="preserve">Windturbine Vijfsluizen Beneluxtunnel 1 </t>
  </si>
  <si>
    <t>EnergiekSchiedam/ Stichting Energiecollectief Schiedam (SEC)</t>
  </si>
  <si>
    <t>Windpark Elzenburg- de Geer</t>
  </si>
  <si>
    <t>Windpark IJsselwind De Mars Twentekanaal</t>
  </si>
  <si>
    <t>Zeeuwind/ Windpark Thermophos</t>
  </si>
  <si>
    <t xml:space="preserve">Windenergie Voorst </t>
  </si>
  <si>
    <t>Windpark Lochter</t>
  </si>
  <si>
    <t xml:space="preserve">Lansingerwind ProjectA15 Burgerinitiatief </t>
  </si>
  <si>
    <t>DuurzaamLansingerland, Windvogel, Duurzam energiecoöperatie Zoetermeer (DeZo)</t>
  </si>
  <si>
    <t>Windmolen Zenkeldamshoek</t>
  </si>
  <si>
    <t>Windpark Spuisluis (geen participatie)</t>
  </si>
  <si>
    <t>Windpark Lage Weide</t>
  </si>
  <si>
    <t xml:space="preserve">Windpark Geefsweer </t>
  </si>
  <si>
    <t>Windpark De Ronde Venen (verkennend)</t>
  </si>
  <si>
    <t>Veenwind</t>
  </si>
  <si>
    <t>Windmolen De Adelaar (vervangen door WindPostCodeRoos Andijk)</t>
  </si>
  <si>
    <t>WWC Westfriese Windmolen Coöperatie</t>
  </si>
  <si>
    <t xml:space="preserve">Windpark Beekbergsebroek </t>
  </si>
  <si>
    <t>Windpark Bergerden (next garden)</t>
  </si>
  <si>
    <t>Energie A16 windturbines A16 Wind/ t</t>
  </si>
  <si>
    <t xml:space="preserve">Financiële participatie+ gebiedsfonds. Géén coöperatief eigendom. </t>
  </si>
  <si>
    <t>Eneco (25%), BMH Solar (25%)</t>
  </si>
  <si>
    <t>Eneco, Maatschap Hopmans (20%)</t>
  </si>
  <si>
    <t>Sagro (zuidelijke molen), Eneco/ Zeeuwind (noordelijke molen)</t>
  </si>
  <si>
    <t>Energie Coöperatie Dordrecht (ECD; gemeente, HVC)</t>
  </si>
  <si>
    <t>IJsselwind (4 coöperaties: BrummenEnergie, LochemEnergie, EnergierijkVoorst, Zuthen ZET)</t>
  </si>
  <si>
    <t>Zeeuwind/ Willem Anna Polder (W.A.P) - sanering bij vervanging door W.A.P II</t>
  </si>
  <si>
    <t>voorbereiding sanering</t>
  </si>
  <si>
    <t>Friese dorpsmolenstichtingen</t>
  </si>
  <si>
    <t>EAZ windmolens (10 KW)</t>
  </si>
  <si>
    <t>EAZ Broukster Energie Coöperatie</t>
  </si>
  <si>
    <t>EAZ Overschild/ E.A.Z windmolen en zonnedaken Op de Tip</t>
  </si>
  <si>
    <t>EAZ Duurzaam Menterwolde/ E.A.Z. windmolen</t>
  </si>
  <si>
    <t>EAZ DuurzaamDuurswold/ E.A.Z. windmolen (in combinatie met zonnedak)  (PCR) in combinatie zonnedak</t>
  </si>
  <si>
    <t>EAZ Midwolde/ E.A.Z. windmolen 1</t>
  </si>
  <si>
    <t>EAZ Midwolde/ E.A.Z. windmolen 2</t>
  </si>
  <si>
    <t>EAZ Steendam/ E.A.Z. windmolens</t>
  </si>
  <si>
    <t>EAZ Kantens/ 3 E.A.Z. windmolens</t>
  </si>
  <si>
    <t>EAZ GrunnegerPower/ E.A.Z. wijkwindmolens Dorkwerdersluis</t>
  </si>
  <si>
    <t xml:space="preserve">EAZ Hogelandster/ E.A.Z. windmolen Wehe Den Hoorn </t>
  </si>
  <si>
    <t>EAZ LOPEC/ E.A.Z. windmolen</t>
  </si>
  <si>
    <t>EAZ Midwolde/ E.A.Z. windmolen</t>
  </si>
  <si>
    <t>EAZ PaddepoelEnergiek/Wijkwindmolens Westerkwartier (EAZ)</t>
  </si>
  <si>
    <t xml:space="preserve">EAZ Samenwind Tinallinge/ EAZ windmolen </t>
  </si>
  <si>
    <t>EAZ Reestdal/  E.A.Z. windmolen</t>
  </si>
  <si>
    <t>EAZ WinsumDuurzaam/ E.A.Z. windmolens (2 stuks, in combinatie met zonnedak)</t>
  </si>
  <si>
    <t>Coöperatie TOER/ nieuwe dorpsmolen Tzum - vervanging)</t>
  </si>
  <si>
    <t xml:space="preserve">Dorpsmolen Tzum (Stichting MAST)- sanering oude dorpsmolen </t>
  </si>
  <si>
    <t xml:space="preserve">Dorpsmolen Tzum (Stichting MAST)- sanering &amp; vervanging </t>
  </si>
  <si>
    <t>gepland sanering</t>
  </si>
  <si>
    <t>Windpark Brielse Maasdijk</t>
  </si>
  <si>
    <t>Windpark Rijnenburg (in combinatie met zonnepark)</t>
  </si>
  <si>
    <t>mogelijk 2 turbines</t>
  </si>
  <si>
    <t>Vattenfall Winddevelopment BV/ Stichting Eeemswind (grondeigenaren)</t>
  </si>
  <si>
    <t xml:space="preserve">Raedthuys </t>
  </si>
  <si>
    <t>postcoderoos/ SCE</t>
  </si>
  <si>
    <t>coöperatie beheert gebiedsfonds</t>
  </si>
  <si>
    <t>Windpark Oostpolder (geen cooperatief eigendom, omgevingsfonds)</t>
  </si>
  <si>
    <t xml:space="preserve">Windpark Bijsterhuizen </t>
  </si>
  <si>
    <t>Wind in Wijchen</t>
  </si>
  <si>
    <t>geen coöperatie betrokken bij voormalige windpark</t>
  </si>
  <si>
    <t>vóór 2012</t>
  </si>
  <si>
    <t>Zaanse Energie Koöperatie (ZEK)</t>
  </si>
  <si>
    <t>Windmolen Het Windpaard</t>
  </si>
  <si>
    <t>nvt</t>
  </si>
  <si>
    <t xml:space="preserve">Drents Overijsselse Delta </t>
  </si>
  <si>
    <r>
      <t xml:space="preserve">100% </t>
    </r>
    <r>
      <rPr>
        <u/>
        <sz val="11"/>
        <rFont val="Calibri"/>
        <family val="2"/>
        <scheme val="minor"/>
      </rPr>
      <t>juridisch</t>
    </r>
    <r>
      <rPr>
        <sz val="11"/>
        <rFont val="Calibri"/>
        <family val="2"/>
        <scheme val="minor"/>
      </rPr>
      <t xml:space="preserve"> eigendom coöperatie; waterschap investeerde mee, aandelen zonder stemrecht</t>
    </r>
  </si>
  <si>
    <t>BOM Energiefonds Brabant/ lokaal participatiefonds</t>
  </si>
  <si>
    <t>gedeeld eigendom: 1 van 6 turbines 75% eigendom TREM (aandeelhouder project BV.) , 25% naar lokaal fonds</t>
  </si>
  <si>
    <t>agrariër (50%)</t>
  </si>
  <si>
    <t>agrariërscollectief/ DEE Exloërmond</t>
  </si>
  <si>
    <t>Aelmans Adviesgroep (25%), Green Trust (25%), 3 agrariërs (25%)</t>
  </si>
  <si>
    <t>per 2021: Kallista Energy (40%). Overname van Enercon</t>
  </si>
  <si>
    <t>Deltawind/ Windpark Battenoert (nieuwbouw/ opschaling)</t>
  </si>
  <si>
    <t>Deltawind/  Windpark Battenoert (tot najaar 2015; daarna opschaling)</t>
  </si>
  <si>
    <t>Deltawind/ Windpark Battenoert (sanering)</t>
  </si>
  <si>
    <t>Windpark Papemeer (coöperatief na overname)</t>
  </si>
  <si>
    <t>Coöperatie TOER/ Stichting MAST</t>
  </si>
  <si>
    <t xml:space="preserve">Coöperatie Herbaijum (Qurrent -Greenchoice) </t>
  </si>
  <si>
    <t>WindPostcodeRoos - De Wynroas Fan reahus</t>
  </si>
  <si>
    <t>WindPostcodeRoos - Volkmolen</t>
  </si>
  <si>
    <t>agrariesA (33,3%), (33,3%)</t>
  </si>
  <si>
    <t>WindPostcodeRoos - Andijk</t>
  </si>
  <si>
    <t>LOPEC</t>
  </si>
  <si>
    <t xml:space="preserve">50% coöperatief eigendom: Rijne Energie, Windvogel. </t>
  </si>
  <si>
    <t>BIJLAGEN DEEL 4. OVERZICHT COLLECTIEVE WINDPROJECTEN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</si>
</sst>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"/>
    <numFmt numFmtId="165" formatCode="_ &quot;€&quot;\ * #,##0_ ;_ &quot;€&quot;\ * \-#,##0_ ;_ &quot;€&quot;\ * &quot;-&quot;??_ ;_ @_ "/>
    <numFmt numFmtId="166" formatCode="_ * #,##0_ ;_ * \-#,##0_ ;_ * &quot;-&quot;??_ ;_ @_ "/>
    <numFmt numFmtId="167" formatCode="0.0%"/>
    <numFmt numFmtId="168" formatCode="_ * #,##0.0_ ;_ * \-#,##0.0_ ;_ * &quot;-&quot;??_ ;_ @_ "/>
    <numFmt numFmtId="169" formatCode="_ * #,##0.000_ ;_ * \-#,##0.000_ ;_ * &quot;-&quot;??_ ;_ @_ "/>
    <numFmt numFmtId="170" formatCode="_ * #,##0.0000_ ;_ * \-#,##0.0000_ ;_ * &quot;-&quot;??_ ;_ @_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166" fontId="0" fillId="0" borderId="0" xfId="3" applyNumberFormat="1" applyFont="1" applyAlignment="1">
      <alignment horizontal="right"/>
    </xf>
    <xf numFmtId="166" fontId="0" fillId="0" borderId="0" xfId="3" applyNumberFormat="1" applyFont="1"/>
    <xf numFmtId="0" fontId="0" fillId="0" borderId="0" xfId="0" applyFill="1"/>
    <xf numFmtId="0" fontId="1" fillId="0" borderId="0" xfId="0" applyFont="1" applyFill="1"/>
    <xf numFmtId="166" fontId="0" fillId="0" borderId="0" xfId="3" applyNumberFormat="1" applyFont="1" applyFill="1" applyAlignment="1">
      <alignment horizontal="right"/>
    </xf>
    <xf numFmtId="3" fontId="0" fillId="0" borderId="0" xfId="0" applyNumberFormat="1" applyFill="1"/>
    <xf numFmtId="9" fontId="0" fillId="0" borderId="0" xfId="4" applyFont="1" applyFill="1"/>
    <xf numFmtId="0" fontId="0" fillId="0" borderId="0" xfId="0" applyFont="1" applyFill="1"/>
    <xf numFmtId="9" fontId="0" fillId="0" borderId="0" xfId="0" applyNumberFormat="1" applyFill="1"/>
    <xf numFmtId="166" fontId="0" fillId="0" borderId="0" xfId="0" applyNumberFormat="1"/>
    <xf numFmtId="166" fontId="0" fillId="0" borderId="0" xfId="3" applyNumberFormat="1" applyFont="1" applyFill="1"/>
    <xf numFmtId="0" fontId="8" fillId="0" borderId="0" xfId="0" applyFont="1" applyFill="1"/>
    <xf numFmtId="166" fontId="1" fillId="0" borderId="0" xfId="3" applyNumberFormat="1" applyFont="1" applyFill="1"/>
    <xf numFmtId="0" fontId="0" fillId="0" borderId="0" xfId="0" applyNumberFormat="1" applyFill="1" applyAlignment="1">
      <alignment horizontal="left"/>
    </xf>
    <xf numFmtId="166" fontId="7" fillId="0" borderId="0" xfId="3" applyNumberFormat="1" applyFont="1" applyFill="1"/>
    <xf numFmtId="0" fontId="0" fillId="0" borderId="0" xfId="0" applyFill="1" applyAlignment="1">
      <alignment horizontal="right"/>
    </xf>
    <xf numFmtId="0" fontId="13" fillId="0" borderId="0" xfId="0" applyFont="1" applyFill="1"/>
    <xf numFmtId="0" fontId="9" fillId="0" borderId="0" xfId="0" applyFont="1" applyFill="1"/>
    <xf numFmtId="166" fontId="4" fillId="0" borderId="0" xfId="3" applyNumberFormat="1" applyFont="1" applyFill="1"/>
    <xf numFmtId="0" fontId="11" fillId="0" borderId="0" xfId="1" applyFont="1" applyFill="1" applyAlignment="1" applyProtection="1"/>
    <xf numFmtId="166" fontId="8" fillId="0" borderId="0" xfId="3" applyNumberFormat="1" applyFont="1" applyFill="1"/>
    <xf numFmtId="0" fontId="0" fillId="0" borderId="0" xfId="3" applyNumberFormat="1" applyFont="1" applyFill="1" applyAlignment="1">
      <alignment horizontal="right"/>
    </xf>
    <xf numFmtId="0" fontId="14" fillId="0" borderId="0" xfId="0" applyFont="1"/>
    <xf numFmtId="0" fontId="10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3" applyNumberFormat="1" applyFont="1" applyAlignment="1">
      <alignment horizontal="right"/>
    </xf>
    <xf numFmtId="165" fontId="8" fillId="0" borderId="0" xfId="2" applyNumberFormat="1" applyFont="1" applyFill="1"/>
    <xf numFmtId="164" fontId="8" fillId="0" borderId="0" xfId="0" applyNumberFormat="1" applyFont="1" applyFill="1"/>
    <xf numFmtId="166" fontId="8" fillId="0" borderId="0" xfId="3" applyNumberFormat="1" applyFont="1" applyFill="1" applyAlignment="1">
      <alignment horizontal="right"/>
    </xf>
    <xf numFmtId="3" fontId="8" fillId="0" borderId="0" xfId="0" applyNumberFormat="1" applyFont="1" applyFill="1"/>
    <xf numFmtId="0" fontId="8" fillId="0" borderId="0" xfId="3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/>
    <xf numFmtId="0" fontId="15" fillId="0" borderId="0" xfId="0" applyFont="1"/>
    <xf numFmtId="0" fontId="15" fillId="0" borderId="0" xfId="0" applyFont="1" applyFill="1"/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4" fillId="0" borderId="0" xfId="3" applyNumberFormat="1" applyFont="1" applyFill="1" applyAlignment="1">
      <alignment horizontal="left" vertical="top" wrapText="1"/>
    </xf>
    <xf numFmtId="166" fontId="4" fillId="0" borderId="0" xfId="3" applyNumberFormat="1" applyFont="1" applyFill="1" applyAlignment="1">
      <alignment horizontal="left" vertical="top" wrapText="1"/>
    </xf>
    <xf numFmtId="3" fontId="0" fillId="0" borderId="0" xfId="0" applyNumberFormat="1" applyFont="1" applyFill="1" applyAlignment="1">
      <alignment vertical="top" wrapText="1"/>
    </xf>
    <xf numFmtId="166" fontId="1" fillId="0" borderId="0" xfId="3" applyNumberFormat="1" applyFont="1" applyFill="1" applyAlignment="1">
      <alignment horizontal="right"/>
    </xf>
    <xf numFmtId="166" fontId="4" fillId="0" borderId="0" xfId="3" applyNumberFormat="1" applyFont="1" applyFill="1" applyAlignment="1">
      <alignment horizontal="right" vertical="top" wrapText="1"/>
    </xf>
    <xf numFmtId="0" fontId="0" fillId="0" borderId="0" xfId="0" applyFill="1" applyBorder="1"/>
    <xf numFmtId="167" fontId="0" fillId="0" borderId="0" xfId="4" applyNumberFormat="1" applyFont="1"/>
    <xf numFmtId="0" fontId="8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3" applyNumberFormat="1" applyFont="1" applyFill="1" applyAlignment="1">
      <alignment horizontal="right"/>
    </xf>
    <xf numFmtId="0" fontId="0" fillId="0" borderId="0" xfId="3" quotePrefix="1" applyNumberFormat="1" applyFont="1" applyFill="1" applyAlignment="1">
      <alignment horizontal="right"/>
    </xf>
    <xf numFmtId="0" fontId="10" fillId="0" borderId="0" xfId="3" applyNumberFormat="1" applyFont="1" applyFill="1" applyAlignment="1">
      <alignment horizontal="right"/>
    </xf>
    <xf numFmtId="0" fontId="0" fillId="0" borderId="0" xfId="0" quotePrefix="1" applyFill="1" applyAlignment="1">
      <alignment horizontal="right"/>
    </xf>
    <xf numFmtId="3" fontId="0" fillId="0" borderId="0" xfId="0" quotePrefix="1" applyNumberFormat="1" applyFill="1"/>
    <xf numFmtId="0" fontId="0" fillId="0" borderId="0" xfId="0" applyFill="1" applyAlignment="1">
      <alignment horizontal="left" vertical="top" wrapText="1"/>
    </xf>
    <xf numFmtId="166" fontId="7" fillId="0" borderId="0" xfId="4" applyNumberFormat="1" applyFont="1" applyFill="1" applyAlignment="1">
      <alignment horizontal="right"/>
    </xf>
    <xf numFmtId="0" fontId="0" fillId="0" borderId="0" xfId="0" applyFont="1" applyFill="1" applyBorder="1"/>
    <xf numFmtId="0" fontId="8" fillId="0" borderId="2" xfId="0" applyFont="1" applyFill="1" applyBorder="1"/>
    <xf numFmtId="14" fontId="0" fillId="0" borderId="0" xfId="0" applyNumberFormat="1"/>
    <xf numFmtId="170" fontId="0" fillId="0" borderId="0" xfId="0" applyNumberFormat="1" applyFill="1"/>
    <xf numFmtId="167" fontId="7" fillId="0" borderId="0" xfId="4" applyNumberFormat="1" applyFont="1" applyFill="1" applyAlignment="1"/>
    <xf numFmtId="166" fontId="0" fillId="0" borderId="0" xfId="0" applyNumberFormat="1" applyFont="1" applyFill="1"/>
    <xf numFmtId="0" fontId="8" fillId="0" borderId="0" xfId="0" applyFont="1" applyFill="1" applyAlignment="1">
      <alignment horizontal="right" vertical="top"/>
    </xf>
    <xf numFmtId="166" fontId="8" fillId="2" borderId="0" xfId="3" applyNumberFormat="1" applyFont="1" applyFill="1"/>
    <xf numFmtId="166" fontId="0" fillId="2" borderId="0" xfId="3" applyNumberFormat="1" applyFont="1" applyFill="1"/>
    <xf numFmtId="166" fontId="9" fillId="2" borderId="0" xfId="3" applyNumberFormat="1" applyFont="1" applyFill="1"/>
    <xf numFmtId="166" fontId="1" fillId="2" borderId="0" xfId="3" applyNumberFormat="1" applyFont="1" applyFill="1"/>
    <xf numFmtId="165" fontId="15" fillId="0" borderId="0" xfId="2" applyNumberFormat="1" applyFont="1"/>
    <xf numFmtId="3" fontId="15" fillId="0" borderId="0" xfId="0" applyNumberFormat="1" applyFont="1" applyFill="1"/>
    <xf numFmtId="3" fontId="16" fillId="0" borderId="0" xfId="0" applyNumberFormat="1" applyFont="1" applyFill="1" applyAlignment="1">
      <alignment vertical="top" wrapText="1"/>
    </xf>
    <xf numFmtId="0" fontId="6" fillId="0" borderId="0" xfId="0" applyFont="1" applyFill="1"/>
    <xf numFmtId="0" fontId="17" fillId="0" borderId="0" xfId="3" applyNumberFormat="1" applyFont="1" applyFill="1" applyAlignment="1">
      <alignment horizontal="right"/>
    </xf>
    <xf numFmtId="166" fontId="17" fillId="0" borderId="0" xfId="3" applyNumberFormat="1" applyFont="1" applyFill="1"/>
    <xf numFmtId="166" fontId="17" fillId="0" borderId="0" xfId="3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9" fontId="15" fillId="0" borderId="0" xfId="4" applyFont="1"/>
    <xf numFmtId="9" fontId="15" fillId="0" borderId="0" xfId="4" applyFont="1" applyFill="1"/>
    <xf numFmtId="9" fontId="16" fillId="0" borderId="0" xfId="4" applyFont="1" applyFill="1" applyAlignment="1">
      <alignment vertical="top" wrapText="1"/>
    </xf>
    <xf numFmtId="9" fontId="8" fillId="0" borderId="0" xfId="4" applyFont="1" applyFill="1" applyAlignment="1">
      <alignment horizontal="center"/>
    </xf>
    <xf numFmtId="166" fontId="15" fillId="0" borderId="0" xfId="3" applyNumberFormat="1" applyFont="1"/>
    <xf numFmtId="166" fontId="15" fillId="0" borderId="0" xfId="3" applyNumberFormat="1" applyFont="1" applyFill="1"/>
    <xf numFmtId="43" fontId="0" fillId="0" borderId="0" xfId="3" applyNumberFormat="1" applyFont="1" applyFill="1"/>
    <xf numFmtId="0" fontId="9" fillId="0" borderId="0" xfId="0" applyFont="1" applyFill="1" applyAlignment="1">
      <alignment horizontal="right"/>
    </xf>
    <xf numFmtId="1" fontId="8" fillId="0" borderId="0" xfId="0" quotePrefix="1" applyNumberFormat="1" applyFont="1" applyFill="1" applyAlignment="1">
      <alignment horizontal="right"/>
    </xf>
    <xf numFmtId="166" fontId="12" fillId="0" borderId="0" xfId="3" applyNumberFormat="1" applyFont="1" applyFill="1"/>
    <xf numFmtId="9" fontId="9" fillId="0" borderId="0" xfId="0" applyNumberFormat="1" applyFont="1" applyFill="1"/>
    <xf numFmtId="166" fontId="8" fillId="0" borderId="0" xfId="3" quotePrefix="1" applyNumberFormat="1" applyFont="1" applyFill="1" applyAlignment="1">
      <alignment horizontal="right"/>
    </xf>
    <xf numFmtId="1" fontId="8" fillId="0" borderId="0" xfId="0" applyNumberFormat="1" applyFont="1" applyFill="1"/>
    <xf numFmtId="166" fontId="9" fillId="0" borderId="0" xfId="3" applyNumberFormat="1" applyFont="1" applyFill="1"/>
    <xf numFmtId="166" fontId="8" fillId="0" borderId="0" xfId="3" quotePrefix="1" applyNumberFormat="1" applyFont="1" applyFill="1" applyAlignment="1"/>
    <xf numFmtId="166" fontId="12" fillId="0" borderId="0" xfId="3" applyNumberFormat="1" applyFont="1" applyFill="1" applyAlignment="1">
      <alignment horizontal="right"/>
    </xf>
    <xf numFmtId="168" fontId="8" fillId="0" borderId="0" xfId="3" applyNumberFormat="1" applyFont="1" applyFill="1" applyAlignment="1">
      <alignment horizontal="right"/>
    </xf>
    <xf numFmtId="166" fontId="8" fillId="0" borderId="0" xfId="3" applyNumberFormat="1" applyFont="1" applyFill="1" applyAlignment="1">
      <alignment horizontal="center"/>
    </xf>
    <xf numFmtId="9" fontId="8" fillId="0" borderId="0" xfId="0" applyNumberFormat="1" applyFont="1" applyFill="1"/>
    <xf numFmtId="168" fontId="8" fillId="0" borderId="0" xfId="3" applyNumberFormat="1" applyFont="1" applyFill="1"/>
    <xf numFmtId="166" fontId="9" fillId="0" borderId="0" xfId="3" applyNumberFormat="1" applyFont="1" applyFill="1" applyAlignment="1">
      <alignment horizontal="right"/>
    </xf>
    <xf numFmtId="0" fontId="12" fillId="0" borderId="0" xfId="0" applyFont="1" applyFill="1"/>
    <xf numFmtId="0" fontId="8" fillId="0" borderId="0" xfId="3" quotePrefix="1" applyNumberFormat="1" applyFont="1" applyFill="1" applyAlignment="1">
      <alignment horizontal="right"/>
    </xf>
    <xf numFmtId="0" fontId="8" fillId="0" borderId="0" xfId="0" quotePrefix="1" applyFont="1" applyFill="1"/>
    <xf numFmtId="43" fontId="8" fillId="0" borderId="0" xfId="3" applyNumberFormat="1" applyFont="1" applyFill="1"/>
    <xf numFmtId="0" fontId="8" fillId="0" borderId="0" xfId="3" applyNumberFormat="1" applyFont="1" applyFill="1" applyAlignment="1">
      <alignment vertical="top"/>
    </xf>
    <xf numFmtId="0" fontId="12" fillId="0" borderId="0" xfId="0" applyFont="1" applyFill="1" applyAlignment="1">
      <alignment horizontal="center"/>
    </xf>
    <xf numFmtId="9" fontId="12" fillId="0" borderId="0" xfId="4" applyFont="1" applyFill="1" applyAlignment="1">
      <alignment horizontal="center"/>
    </xf>
    <xf numFmtId="9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166" fontId="8" fillId="0" borderId="0" xfId="3" quotePrefix="1" applyNumberFormat="1" applyFont="1" applyFill="1"/>
    <xf numFmtId="167" fontId="8" fillId="0" borderId="0" xfId="4" applyNumberFormat="1" applyFont="1" applyFill="1" applyAlignment="1">
      <alignment horizontal="center"/>
    </xf>
    <xf numFmtId="0" fontId="9" fillId="0" borderId="0" xfId="3" applyNumberFormat="1" applyFont="1" applyFill="1" applyAlignment="1">
      <alignment horizontal="right"/>
    </xf>
    <xf numFmtId="0" fontId="8" fillId="0" borderId="0" xfId="0" quotePrefix="1" applyFont="1" applyFill="1" applyAlignment="1">
      <alignment horizontal="right"/>
    </xf>
    <xf numFmtId="1" fontId="12" fillId="0" borderId="0" xfId="0" applyNumberFormat="1" applyFont="1" applyFill="1" applyAlignment="1">
      <alignment horizontal="center"/>
    </xf>
    <xf numFmtId="0" fontId="9" fillId="0" borderId="0" xfId="0" quotePrefix="1" applyFont="1" applyFill="1" applyAlignment="1">
      <alignment horizontal="right"/>
    </xf>
    <xf numFmtId="3" fontId="8" fillId="0" borderId="0" xfId="0" quotePrefix="1" applyNumberFormat="1" applyFont="1" applyFill="1"/>
    <xf numFmtId="14" fontId="0" fillId="0" borderId="0" xfId="0" applyNumberFormat="1" applyFill="1"/>
    <xf numFmtId="0" fontId="15" fillId="0" borderId="1" xfId="0" applyFont="1" applyFill="1" applyBorder="1"/>
    <xf numFmtId="0" fontId="19" fillId="0" borderId="0" xfId="0" applyFont="1"/>
    <xf numFmtId="49" fontId="0" fillId="0" borderId="0" xfId="0" applyNumberFormat="1"/>
    <xf numFmtId="0" fontId="5" fillId="0" borderId="0" xfId="0" applyFont="1"/>
    <xf numFmtId="10" fontId="8" fillId="0" borderId="0" xfId="0" applyNumberFormat="1" applyFont="1" applyFill="1"/>
    <xf numFmtId="9" fontId="8" fillId="0" borderId="0" xfId="4" applyFont="1" applyFill="1"/>
    <xf numFmtId="0" fontId="12" fillId="0" borderId="0" xfId="0" quotePrefix="1" applyFont="1" applyFill="1" applyAlignment="1">
      <alignment horizontal="right"/>
    </xf>
    <xf numFmtId="166" fontId="8" fillId="0" borderId="0" xfId="3" applyNumberFormat="1" applyFont="1" applyFill="1" applyAlignment="1">
      <alignment horizontal="left" indent="2"/>
    </xf>
    <xf numFmtId="167" fontId="8" fillId="0" borderId="0" xfId="0" applyNumberFormat="1" applyFont="1" applyFill="1"/>
    <xf numFmtId="10" fontId="8" fillId="0" borderId="0" xfId="4" applyNumberFormat="1" applyFont="1" applyFill="1"/>
    <xf numFmtId="1" fontId="8" fillId="0" borderId="0" xfId="0" quotePrefix="1" applyNumberFormat="1" applyFont="1" applyFill="1"/>
    <xf numFmtId="166" fontId="8" fillId="0" borderId="0" xfId="0" quotePrefix="1" applyNumberFormat="1" applyFont="1" applyFill="1"/>
    <xf numFmtId="169" fontId="8" fillId="0" borderId="0" xfId="3" applyNumberFormat="1" applyFont="1" applyFill="1"/>
    <xf numFmtId="16" fontId="8" fillId="0" borderId="0" xfId="0" quotePrefix="1" applyNumberFormat="1" applyFont="1" applyFill="1"/>
    <xf numFmtId="9" fontId="8" fillId="0" borderId="0" xfId="4" applyNumberFormat="1" applyFont="1" applyFill="1"/>
    <xf numFmtId="0" fontId="8" fillId="0" borderId="0" xfId="3" applyNumberFormat="1" applyFont="1" applyFill="1"/>
    <xf numFmtId="3" fontId="9" fillId="0" borderId="0" xfId="0" quotePrefix="1" applyNumberFormat="1" applyFont="1" applyFill="1" applyBorder="1" applyAlignment="1">
      <alignment horizontal="right"/>
    </xf>
    <xf numFmtId="1" fontId="8" fillId="0" borderId="0" xfId="2" applyNumberFormat="1" applyFont="1" applyFill="1"/>
    <xf numFmtId="0" fontId="8" fillId="0" borderId="0" xfId="0" applyNumberFormat="1" applyFont="1" applyFill="1" applyAlignment="1">
      <alignment horizontal="right"/>
    </xf>
    <xf numFmtId="49" fontId="8" fillId="0" borderId="0" xfId="0" applyNumberFormat="1" applyFont="1" applyFill="1"/>
    <xf numFmtId="166" fontId="8" fillId="0" borderId="0" xfId="3" quotePrefix="1" applyNumberFormat="1" applyFont="1" applyFill="1" applyBorder="1" applyAlignment="1">
      <alignment horizontal="right"/>
    </xf>
    <xf numFmtId="16" fontId="12" fillId="0" borderId="0" xfId="0" quotePrefix="1" applyNumberFormat="1" applyFont="1" applyFill="1"/>
    <xf numFmtId="0" fontId="12" fillId="0" borderId="0" xfId="3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1" fontId="8" fillId="0" borderId="0" xfId="3" applyNumberFormat="1" applyFont="1" applyFill="1"/>
    <xf numFmtId="9" fontId="9" fillId="0" borderId="0" xfId="4" applyFont="1" applyFill="1"/>
  </cellXfs>
  <cellStyles count="5">
    <cellStyle name="Hyperlink" xfId="1" builtinId="8"/>
    <cellStyle name="Komma" xfId="3" builtinId="3"/>
    <cellStyle name="Procent" xfId="4" builtinId="5"/>
    <cellStyle name="Standaard" xfId="0" builtinId="0"/>
    <cellStyle name="Valuta" xfId="2" builtinId="4"/>
  </cellStyles>
  <dxfs count="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 * #,##0_ ;_ * \-#,##0_ ;_ * &quot;-&quot;??_ ;_ @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1</xdr:row>
      <xdr:rowOff>25400</xdr:rowOff>
    </xdr:from>
    <xdr:to>
      <xdr:col>2</xdr:col>
      <xdr:colOff>772931</xdr:colOff>
      <xdr:row>7</xdr:row>
      <xdr:rowOff>4581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82350A7-8EC6-4ACD-9299-FAE89ACCA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700" y="228600"/>
          <a:ext cx="1204731" cy="1198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722131</xdr:colOff>
      <xdr:row>7</xdr:row>
      <xdr:rowOff>55381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512D902B-1E05-4620-97ED-5CB7BF74B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266700"/>
          <a:ext cx="1204731" cy="1198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722131</xdr:colOff>
      <xdr:row>6</xdr:row>
      <xdr:rowOff>182381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7697258-CC1F-438E-B02E-B29D7A90A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" y="266700"/>
          <a:ext cx="1204731" cy="1198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722131</xdr:colOff>
      <xdr:row>7</xdr:row>
      <xdr:rowOff>42681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D53DBBD-CD7C-4091-AECD-47537537E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203200"/>
          <a:ext cx="1204731" cy="11983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B17:Z140" totalsRowShown="0" headerRowDxfId="99" dataDxfId="98">
  <autoFilter ref="B17:Z140" xr:uid="{00000000-0009-0000-0100-000002000000}"/>
  <sortState xmlns:xlrd2="http://schemas.microsoft.com/office/spreadsheetml/2017/richdata2" ref="B18:Z140">
    <sortCondition ref="C17:C140"/>
  </sortState>
  <tableColumns count="25">
    <tableColumn id="2" xr3:uid="{00000000-0010-0000-0000-000002000000}" name="NR" dataDxfId="97"/>
    <tableColumn id="1" xr3:uid="{875D2FA1-0DB9-45A7-8CC0-28021EA47939}" name="PROVINCIE" dataDxfId="96"/>
    <tableColumn id="59" xr3:uid="{E8EFD1EB-5009-4D1F-A3E4-800D39293D4E}" name="RES-REGIO" dataDxfId="95"/>
    <tableColumn id="65" xr3:uid="{CC00C5B6-8448-484B-B0F4-57C1A9BCED8A}" name="GEMEENTE" dataDxfId="94"/>
    <tableColumn id="66" xr3:uid="{EDC06E61-0D27-4FD4-BC5B-1BDD5FF4E16A}" name="PLAATS" dataDxfId="93"/>
    <tableColumn id="67" xr3:uid="{DCAB946A-6A79-47BF-92D2-D1FCFD899E69}" name="Kolom5" dataDxfId="92"/>
    <tableColumn id="3" xr3:uid="{00000000-0010-0000-0000-000003000000}" name="PROJECTNAAM" dataDxfId="91"/>
    <tableColumn id="8" xr3:uid="{00000000-0010-0000-0000-000008000000}" name="code" dataDxfId="90"/>
    <tableColumn id="9" xr3:uid="{00000000-0010-0000-0000-000009000000}" name="STATUS " dataDxfId="89"/>
    <tableColumn id="10" xr3:uid="{00000000-0010-0000-0000-00000A000000}" name="REALISATIE [jaar]" dataDxfId="88" dataCellStyle="Komma"/>
    <tableColumn id="18" xr3:uid="{00000000-0010-0000-0000-000012000000}" name="STOPGEZET" dataDxfId="87" dataCellStyle="Komma"/>
    <tableColumn id="14" xr3:uid="{00000000-0010-0000-0000-00000E000000}" name="WIND- OF LOKALE COÖPERATIE (S)" dataDxfId="86"/>
    <tableColumn id="15" xr3:uid="{00000000-0010-0000-0000-00000F000000}" name="ONTWIKKELAAR" dataDxfId="85"/>
    <tableColumn id="16" xr3:uid="{00000000-0010-0000-0000-000010000000}" name="PARTNERS" dataDxfId="84"/>
    <tableColumn id="19" xr3:uid="{00000000-0010-0000-0000-000013000000}" name="AANTAL WIND-TURBINES" dataDxfId="83"/>
    <tableColumn id="20" xr3:uid="{00000000-0010-0000-0000-000014000000}" name="VERMOGEN (KW)" dataDxfId="82" dataCellStyle="Komma"/>
    <tableColumn id="21" xr3:uid="{00000000-0010-0000-0000-000015000000}" name="COÖPERATIEF -%" dataDxfId="81"/>
    <tableColumn id="22" xr3:uid="{00000000-0010-0000-0000-000016000000}" name="AANTAL WIND-TURBINES COÖPERATIEF" dataDxfId="80" dataCellStyle="Komma"/>
    <tableColumn id="23" xr3:uid="{00000000-0010-0000-0000-000017000000}" name="VERMOGEN (KW) COÖPERATIEF" dataDxfId="79" dataCellStyle="Komma"/>
    <tableColumn id="62" xr3:uid="{959A11E7-DE39-47C1-ABBA-D7233EFB2C4F}" name="LOKALE PARTNER [ja/nee]" dataDxfId="78"/>
    <tableColumn id="63" xr3:uid="{495FD734-D670-43AD-A5C3-6D47FE07E364}" name="LOKALE PARTNER [%]" dataDxfId="77" dataCellStyle="Procent"/>
    <tableColumn id="64" xr3:uid="{198C7B6C-1392-4959-9834-2B2C9AC3207C}" name="LOKAAL EIGENDOM TOTAAL (COOP+LOKALE PARTNER [%]" dataDxfId="76" dataCellStyle="Procent"/>
    <tableColumn id="60" xr3:uid="{CE03E5D6-5605-4AE0-9C03-0B8649F20876}" name="VERMOGEN (KW) LOKALE PARTNER" dataDxfId="75" dataCellStyle="Komma">
      <calculatedColumnFormula>W18*Q18</calculatedColumnFormula>
    </tableColumn>
    <tableColumn id="27" xr3:uid="{00000000-0010-0000-0000-00001B000000}" name="TOELICHTING EIGENDOM" dataDxfId="74"/>
    <tableColumn id="28" xr3:uid="{00000000-0010-0000-0000-00001C000000}" name="REGELING" dataDxfId="73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93DE4E6-D7F6-42AD-9A9A-EF9ED6DCCC78}" name="Tabel24" displayName="Tabel24" ref="B17:Z59" totalsRowShown="0" headerRowDxfId="72" dataDxfId="71">
  <autoFilter ref="B17:Z59" xr:uid="{00000000-0009-0000-0100-000002000000}"/>
  <sortState xmlns:xlrd2="http://schemas.microsoft.com/office/spreadsheetml/2017/richdata2" ref="B18:Z59">
    <sortCondition ref="I17:I59"/>
  </sortState>
  <tableColumns count="25">
    <tableColumn id="2" xr3:uid="{DF5BF937-2467-416D-87E2-D69EB4C05BA1}" name="NR" dataDxfId="70"/>
    <tableColumn id="1" xr3:uid="{70A1F9BB-37D8-43C8-A8A9-642E701FCC54}" name="PROVINCIE" dataDxfId="69"/>
    <tableColumn id="59" xr3:uid="{04A52A3D-E945-4190-8F73-F5D2ADAC9B86}" name="RES-REGIO" dataDxfId="68"/>
    <tableColumn id="65" xr3:uid="{326ED3B5-7CA3-4388-B852-17579FD5C8A3}" name="GEMEENTE" dataDxfId="67"/>
    <tableColumn id="66" xr3:uid="{7E10E9A9-6DE7-46B1-9365-AD5EC5299855}" name="PLAATS" dataDxfId="66"/>
    <tableColumn id="67" xr3:uid="{AF7435FD-1CA2-490B-AB54-D0AA7B75B432}" name="Kolom5" dataDxfId="65"/>
    <tableColumn id="3" xr3:uid="{FC94A720-497E-45DA-B677-C6705305A813}" name="PROJECTNAAM" dataDxfId="64"/>
    <tableColumn id="8" xr3:uid="{B8CA86AA-D1E8-4DFA-89E7-BAD660C4D47A}" name="code" dataDxfId="63"/>
    <tableColumn id="9" xr3:uid="{1F82CAEC-9C52-4BBD-A1CD-655AC79D9B3D}" name="STATUS " dataDxfId="62"/>
    <tableColumn id="10" xr3:uid="{5DB2044E-0A4B-466C-B5BE-5804B9C44ED3}" name="REALISATIE [jaar]" dataDxfId="61" dataCellStyle="Komma"/>
    <tableColumn id="18" xr3:uid="{5FDE2B6A-44C4-46F3-964B-CFA482B8DA17}" name="STOPGEZET" dataDxfId="60" dataCellStyle="Komma"/>
    <tableColumn id="14" xr3:uid="{C0E2A45C-AB3F-46DD-B603-78741822A164}" name="WIND- OF LOKALE COÖPERATIE (S)" dataDxfId="59"/>
    <tableColumn id="15" xr3:uid="{9B9C9591-D54B-412C-B795-F4C9F47F69F8}" name="ONTWIKKELAAR" dataDxfId="58"/>
    <tableColumn id="16" xr3:uid="{C1F650AA-806A-4194-9848-94DD0AB25529}" name="PARTNERS" dataDxfId="57"/>
    <tableColumn id="19" xr3:uid="{99F69FC1-B2B0-49F3-BEE7-3903BEA119B9}" name="AANTAL WIND-TURBINES" dataDxfId="56"/>
    <tableColumn id="20" xr3:uid="{E9B22356-ED0F-4471-B223-EF198538CB53}" name="VERMOGEN (KW)" dataDxfId="55" dataCellStyle="Komma"/>
    <tableColumn id="21" xr3:uid="{A7F84B2C-C3DF-4B37-A38E-51AB92338D42}" name="COÖPERATIEF -%" dataDxfId="54"/>
    <tableColumn id="22" xr3:uid="{012181A6-A16E-4B20-97CC-0724A3B52F16}" name="AANTAL WIND-TURBINES COÖPERATIEF" dataDxfId="53" dataCellStyle="Komma"/>
    <tableColumn id="23" xr3:uid="{6965EC87-4053-4924-A0DA-2B97AEF6DF1C}" name="VERMOGEN (KW) COÖPERATIEF" dataDxfId="52" dataCellStyle="Komma"/>
    <tableColumn id="62" xr3:uid="{1A4B6FEC-C858-417E-AE7B-033312F6BD19}" name="LOKALE PARTNER [ja/nee]" dataDxfId="51"/>
    <tableColumn id="63" xr3:uid="{37C8C5B3-8780-4030-BACB-5827161985BF}" name="LOKALE PARTNER [%]" dataDxfId="50" dataCellStyle="Procent"/>
    <tableColumn id="64" xr3:uid="{2E79E3E3-EC6C-4905-8D1F-E8AE2595FF5D}" name="LOKAAL EIGENDOM TOTAAL (COOP+LOKALE PARTNER [%]" dataDxfId="49" dataCellStyle="Procent"/>
    <tableColumn id="60" xr3:uid="{A5E1DA1F-FB35-44DB-9495-2AFCCE2CBD9F}" name="VERMOGEN (KW) LOKALE PARTNER" dataDxfId="48" dataCellStyle="Komma">
      <calculatedColumnFormula>W18*Q18</calculatedColumnFormula>
    </tableColumn>
    <tableColumn id="27" xr3:uid="{F597C2A0-3D79-4E96-8C1E-C6982CAF0CE3}" name="TOELICHTING EIGENDOM" dataDxfId="47"/>
    <tableColumn id="28" xr3:uid="{8235101D-06DF-478A-82B3-082FBB3208C2}" name="REGELING" dataDxfId="46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18F8A1B-2599-4AF3-B5A5-9733A4CF6300}" name="Tabel245" displayName="Tabel245" ref="B16:T51" totalsRowShown="0" headerRowDxfId="45" dataDxfId="44">
  <autoFilter ref="B16:T51" xr:uid="{00000000-0009-0000-0100-000002000000}"/>
  <sortState xmlns:xlrd2="http://schemas.microsoft.com/office/spreadsheetml/2017/richdata2" ref="B17:T51">
    <sortCondition ref="I16:I51"/>
  </sortState>
  <tableColumns count="19">
    <tableColumn id="2" xr3:uid="{A73178E0-4BB4-4109-A51C-D74F2D60004E}" name="NR" dataDxfId="43"/>
    <tableColumn id="1" xr3:uid="{8F3CF87A-60E7-458F-A442-65C7C7453027}" name="PROVINCIE" dataDxfId="42"/>
    <tableColumn id="59" xr3:uid="{58EB56B8-11A0-4859-A6D6-18354195FF93}" name="RES-REGIO" dataDxfId="41"/>
    <tableColumn id="65" xr3:uid="{F786273A-6DD1-4745-8620-ABA563BBC1DE}" name="GEMEENTE" dataDxfId="40"/>
    <tableColumn id="66" xr3:uid="{975CB467-7220-429E-98D0-26A519E46AF7}" name="PLAATS" dataDxfId="39"/>
    <tableColumn id="67" xr3:uid="{13B1D12F-95DE-4F13-9FE9-C6863827CD13}" name="Kolom5" dataDxfId="38"/>
    <tableColumn id="3" xr3:uid="{379E9203-30EB-445C-89D6-9629E06B01C6}" name="PROJECTNAAM" dataDxfId="37"/>
    <tableColumn id="8" xr3:uid="{2B9122DC-0D08-465D-B0D7-62C3BE5A2359}" name="code" dataDxfId="36"/>
    <tableColumn id="9" xr3:uid="{22ABBCA4-B7D1-4973-A826-F2479785766D}" name="STATUS " dataDxfId="35"/>
    <tableColumn id="10" xr3:uid="{E1D6726E-25BE-4EDF-B4D0-6C67E4B0C38D}" name="REALISATIE [jaar]" dataDxfId="34" dataCellStyle="Komma"/>
    <tableColumn id="18" xr3:uid="{0BF4EDC7-F745-4D0C-8CA7-17862DA64044}" name="STOPGEZET" dataDxfId="33" dataCellStyle="Komma"/>
    <tableColumn id="14" xr3:uid="{B1779CCD-C4DB-4650-92D5-78108A841803}" name="WIND- OF LOKALE COÖPERATIE (S)" dataDxfId="32"/>
    <tableColumn id="15" xr3:uid="{2AE18393-DEB7-447D-9FD9-1E0C28793F68}" name="ONTWIKKELAAR" dataDxfId="31"/>
    <tableColumn id="16" xr3:uid="{6F654EAF-EE00-4A71-BC51-FBF324316596}" name="PARTNERS" dataDxfId="30"/>
    <tableColumn id="19" xr3:uid="{805CE8FC-4643-45FE-ADEA-5EF243D574CA}" name="AANTAL WIND-TURBINES" dataDxfId="29"/>
    <tableColumn id="20" xr3:uid="{6754BC55-F595-4C37-8FE0-520F08FD3DBE}" name="VERMOGEN (KW)" dataDxfId="28" dataCellStyle="Komma"/>
    <tableColumn id="21" xr3:uid="{7B9BEBF2-B7F1-4749-9E97-602EC2267842}" name="COÖPERATIEF -%" dataDxfId="27"/>
    <tableColumn id="22" xr3:uid="{5FB396C1-E4F6-4D84-9BEB-99CFFA28DB7F}" name="AANTAL WIND-TURBINES COÖPERATIEF" dataDxfId="26" dataCellStyle="Komma"/>
    <tableColumn id="23" xr3:uid="{EE80153A-6A0C-4A61-847C-8048F5B7D73E}" name="VERMOGEN (KW) COÖPERATIEF" dataDxfId="25" dataCellStyle="Komma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18D5FE-FF74-4343-9507-9619E67EA1F2}" name="Tabel22" displayName="Tabel22" ref="B16:R48" totalsRowShown="0" headerRowDxfId="24" dataDxfId="23">
  <autoFilter ref="B16:R48" xr:uid="{00000000-0009-0000-0100-000002000000}"/>
  <sortState xmlns:xlrd2="http://schemas.microsoft.com/office/spreadsheetml/2017/richdata2" ref="B17:R48">
    <sortCondition ref="C16:C48"/>
  </sortState>
  <tableColumns count="17">
    <tableColumn id="2" xr3:uid="{71A6CFF1-4451-4061-8000-560D605F7054}" name="NR" dataDxfId="22"/>
    <tableColumn id="1" xr3:uid="{2DA4F03B-7C18-43A1-99D0-350B2244FEA1}" name="PROVINCIE" dataDxfId="21"/>
    <tableColumn id="50" xr3:uid="{E9A64862-EEF3-467B-A579-A3ED867BBC9B}" name="RES-REGIO" dataDxfId="20"/>
    <tableColumn id="57" xr3:uid="{5C601B87-C244-4D05-8D75-19B7F4298E8F}" name="GEMEENTE" dataDxfId="19"/>
    <tableColumn id="58" xr3:uid="{3B44157E-5539-4DE9-8367-26F2B30C3024}" name="PLAATS" dataDxfId="18"/>
    <tableColumn id="3" xr3:uid="{C022AA95-D3BE-4E74-AD5E-C709DA83E5B4}" name="PROJECTNAAM" dataDxfId="17"/>
    <tableColumn id="8" xr3:uid="{244D96C1-08B6-4F3F-94B0-F014BA2BB8F3}" name="code" dataDxfId="16"/>
    <tableColumn id="9" xr3:uid="{1B38A5B0-D47A-4135-BFA0-80308AE0ED8C}" name="STATUS " dataDxfId="15"/>
    <tableColumn id="10" xr3:uid="{E0D87784-F112-48D8-ABE8-AF9D111C89C5}" name="REALISATIE [jaar] " dataDxfId="14" dataCellStyle="Komma"/>
    <tableColumn id="18" xr3:uid="{9E3D85E6-7B4D-45F0-8853-58C1DDF9F2C4}" name="STOPGEZET" dataDxfId="13" dataCellStyle="Komma"/>
    <tableColumn id="14" xr3:uid="{5F218B98-9CD4-488F-8EBD-00ED55BB0C5C}" name="WIND- OF LOKALE COÖPERATIE (S)" dataDxfId="12"/>
    <tableColumn id="19" xr3:uid="{68763625-368B-458E-820A-C84ADABCA190}" name="AANTAL WIND-TURBINES" dataDxfId="11"/>
    <tableColumn id="20" xr3:uid="{1FC06925-F36C-4A05-B91C-AA5AA84D7619}" name="VERMOGEN (KW)" dataDxfId="10" dataCellStyle="Komma"/>
    <tableColumn id="21" xr3:uid="{01611BC3-7F3E-45F6-8FA8-2335D74854FA}" name="COÖPERATIEF -%" dataDxfId="9"/>
    <tableColumn id="22" xr3:uid="{96A469B9-310F-4F13-AF92-45FF1097119D}" name="AANTAL WIND-TURBINES COÖPERATIEF" dataDxfId="8" dataCellStyle="Komma"/>
    <tableColumn id="23" xr3:uid="{40FC065D-2103-4752-B5D7-F55F6F77EC6E}" name="VERMOGEN (KW) COÖPERATIEF" dataDxfId="7" dataCellStyle="Komma"/>
    <tableColumn id="28" xr3:uid="{8CA3643C-BEBA-44CE-9C83-ED1C833CE871}" name="REGELING" dataDxfId="6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F70A34A-D887-4EF0-A596-5600B334BBAA}" name="Tabel5" displayName="Tabel5" ref="B52:R69" totalsRowShown="0">
  <autoFilter ref="B52:R69" xr:uid="{FF70A34A-D887-4EF0-A596-5600B334BBAA}"/>
  <tableColumns count="17">
    <tableColumn id="1" xr3:uid="{0A1F2018-E50A-4417-AE02-D5B8FF464DFF}" name="NR"/>
    <tableColumn id="2" xr3:uid="{9085E300-7A6D-44CA-BFF4-DB9D0C99052B}" name="PROVINCIE"/>
    <tableColumn id="3" xr3:uid="{F5B653F0-3128-4FF4-A3F7-DBA02BA83704}" name="RES-REGIO"/>
    <tableColumn id="4" xr3:uid="{C713DCF2-566A-4270-ADD8-FAF5C708A6BD}" name="GEMEENTE"/>
    <tableColumn id="5" xr3:uid="{B75009B2-E235-46C1-8F80-C1C5B0807756}" name="PLAATS"/>
    <tableColumn id="6" xr3:uid="{1C7372CB-84D6-48CA-8628-0D1F4F733F4E}" name="PROJECTNAAM"/>
    <tableColumn id="7" xr3:uid="{7A66B899-3F6C-4263-8F9F-5D8E57BB4152}" name="code" dataDxfId="5"/>
    <tableColumn id="8" xr3:uid="{BE804495-A7E8-41E1-85A5-B1CE2A13435B}" name="STATUS "/>
    <tableColumn id="9" xr3:uid="{CB3002E6-2A0A-4437-BDDB-CD4F3B16C207}" name="REALISATIE [jaar] " dataDxfId="4" dataCellStyle="Komma"/>
    <tableColumn id="10" xr3:uid="{EEA1EA93-A67E-4757-B310-FCEAE647460A}" name="STOPGEZET" dataDxfId="3" dataCellStyle="Komma"/>
    <tableColumn id="11" xr3:uid="{8C9F5FDA-D3BB-485D-805A-3A992A370F78}" name="WIND- OF LOKALE COÖPERATIE (S)"/>
    <tableColumn id="12" xr3:uid="{1830473A-135E-438E-94EA-4A3CB1C019C7}" name="AANTAL WIND-TURBINES"/>
    <tableColumn id="13" xr3:uid="{2E291188-F478-4336-819B-6053E4D7527E}" name="VERMOGEN (KW)" dataDxfId="2" dataCellStyle="Komma"/>
    <tableColumn id="14" xr3:uid="{14F036B8-221D-4745-A7D3-55D285820D6A}" name="COÖPERATIEF -%"/>
    <tableColumn id="15" xr3:uid="{368650AD-5893-4E26-8AD2-75B7B7B83450}" name="AANTAL WIND-TURBINES COÖPERATIEF" dataDxfId="1" dataCellStyle="Komma"/>
    <tableColumn id="16" xr3:uid="{FA7D7268-F244-4EDD-BB98-8E1BF55F7393}" name="VERMOGEN (KW) COÖPERATIEF" dataDxfId="0" dataCellStyle="Komma"/>
    <tableColumn id="17" xr3:uid="{28EC6410-9197-4A10-BE50-5E3C48786FFE}" name="REGELING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71"/>
  <sheetViews>
    <sheetView tabSelected="1" zoomScale="50" zoomScaleNormal="50" workbookViewId="0">
      <selection activeCell="B14" sqref="B14"/>
    </sheetView>
  </sheetViews>
  <sheetFormatPr defaultRowHeight="14.5" x14ac:dyDescent="0.35"/>
  <cols>
    <col min="1" max="1" width="4.90625" style="6" customWidth="1"/>
    <col min="2" max="2" width="6.81640625" customWidth="1"/>
    <col min="3" max="3" width="15.453125" customWidth="1"/>
    <col min="4" max="4" width="23" customWidth="1"/>
    <col min="5" max="5" width="16.54296875" customWidth="1"/>
    <col min="6" max="6" width="16.26953125" customWidth="1"/>
    <col min="7" max="7" width="6.81640625" customWidth="1"/>
    <col min="8" max="8" width="64.453125" customWidth="1"/>
    <col min="9" max="9" width="5" style="3" customWidth="1"/>
    <col min="10" max="10" width="13.7265625" customWidth="1"/>
    <col min="11" max="11" width="10.1796875" style="29" customWidth="1"/>
    <col min="12" max="12" width="12.54296875" style="29" customWidth="1"/>
    <col min="13" max="13" width="34.1796875" customWidth="1"/>
    <col min="14" max="14" width="27.7265625" customWidth="1"/>
    <col min="15" max="15" width="20.54296875" customWidth="1"/>
    <col min="16" max="16" width="12.81640625" customWidth="1"/>
    <col min="17" max="17" width="13.453125" style="5" customWidth="1"/>
    <col min="18" max="18" width="16.453125" customWidth="1"/>
    <col min="19" max="19" width="14.453125" style="5" customWidth="1"/>
    <col min="20" max="20" width="15.54296875" style="4" customWidth="1"/>
    <col min="21" max="21" width="20.26953125" style="37" customWidth="1"/>
    <col min="22" max="22" width="13.1796875" style="80" customWidth="1"/>
    <col min="23" max="23" width="21.26953125" style="80" customWidth="1"/>
    <col min="24" max="24" width="13.453125" style="84" customWidth="1"/>
    <col min="25" max="25" width="30" customWidth="1"/>
    <col min="26" max="26" width="13.26953125" customWidth="1"/>
  </cols>
  <sheetData>
    <row r="1" spans="1:26" ht="15.5" x14ac:dyDescent="0.35">
      <c r="B1" s="20"/>
      <c r="E1" s="117"/>
      <c r="F1" s="6"/>
      <c r="G1" s="20"/>
      <c r="H1" s="20"/>
      <c r="Q1" s="63"/>
      <c r="R1" s="13"/>
      <c r="S1" s="48"/>
      <c r="T1" s="58"/>
      <c r="U1" s="70"/>
    </row>
    <row r="2" spans="1:26" ht="15.5" x14ac:dyDescent="0.35">
      <c r="A2"/>
      <c r="G2" s="20"/>
      <c r="H2" s="20"/>
      <c r="Q2" s="63"/>
      <c r="R2" s="13"/>
      <c r="S2" s="48"/>
      <c r="T2" s="58"/>
      <c r="U2" s="70"/>
    </row>
    <row r="3" spans="1:26" ht="15.5" x14ac:dyDescent="0.35">
      <c r="A3"/>
      <c r="G3" s="20"/>
      <c r="H3" s="20"/>
      <c r="Q3" s="63"/>
      <c r="R3" s="13"/>
      <c r="S3" s="48"/>
      <c r="T3" s="58"/>
      <c r="U3" s="70"/>
    </row>
    <row r="4" spans="1:26" ht="15.5" x14ac:dyDescent="0.35">
      <c r="A4"/>
      <c r="G4" s="20"/>
      <c r="H4" s="20"/>
      <c r="Q4" s="63"/>
      <c r="R4" s="13"/>
      <c r="S4" s="48"/>
      <c r="T4" s="58"/>
      <c r="U4" s="70"/>
    </row>
    <row r="5" spans="1:26" ht="15.5" x14ac:dyDescent="0.35">
      <c r="A5"/>
      <c r="G5" s="20"/>
      <c r="H5" s="20"/>
      <c r="Q5" s="63"/>
      <c r="R5" s="13"/>
      <c r="S5" s="48"/>
      <c r="T5" s="58"/>
      <c r="U5" s="70"/>
    </row>
    <row r="6" spans="1:26" ht="15.5" x14ac:dyDescent="0.35">
      <c r="A6"/>
      <c r="G6" s="20"/>
      <c r="H6" s="20"/>
      <c r="Q6" s="63"/>
      <c r="R6" s="13"/>
      <c r="S6" s="48"/>
      <c r="T6" s="58"/>
      <c r="U6" s="70"/>
    </row>
    <row r="7" spans="1:26" ht="15.5" x14ac:dyDescent="0.35">
      <c r="A7"/>
      <c r="G7" s="20"/>
      <c r="H7" s="20"/>
      <c r="Q7" s="63"/>
      <c r="R7" s="13"/>
      <c r="S7" s="48"/>
      <c r="T7" s="58"/>
      <c r="U7" s="70"/>
    </row>
    <row r="8" spans="1:26" ht="15.5" x14ac:dyDescent="0.35">
      <c r="A8"/>
      <c r="G8" s="20"/>
      <c r="H8" s="20"/>
      <c r="Q8" s="63"/>
      <c r="R8" s="13"/>
      <c r="S8" s="48"/>
      <c r="T8" s="58"/>
      <c r="U8" s="70"/>
    </row>
    <row r="9" spans="1:26" ht="15.5" x14ac:dyDescent="0.35">
      <c r="A9"/>
      <c r="G9" s="20"/>
      <c r="H9" s="20"/>
      <c r="Q9" s="63"/>
      <c r="R9" s="13"/>
      <c r="S9" s="48"/>
      <c r="T9" s="58"/>
      <c r="U9" s="70"/>
    </row>
    <row r="10" spans="1:26" ht="23.5" x14ac:dyDescent="0.55000000000000004">
      <c r="A10"/>
      <c r="B10" s="119" t="s">
        <v>652</v>
      </c>
      <c r="G10" s="20"/>
      <c r="H10" s="20"/>
      <c r="Q10" s="63"/>
      <c r="R10" s="13"/>
      <c r="S10" s="48"/>
      <c r="T10" s="58"/>
      <c r="U10" s="70"/>
    </row>
    <row r="11" spans="1:26" ht="15.5" x14ac:dyDescent="0.35">
      <c r="A11"/>
      <c r="B11" s="1" t="s">
        <v>503</v>
      </c>
      <c r="G11" s="20"/>
      <c r="H11" s="20"/>
      <c r="Q11" s="63"/>
      <c r="R11" s="13"/>
      <c r="S11" s="48"/>
      <c r="T11" s="58"/>
      <c r="U11" s="70"/>
    </row>
    <row r="12" spans="1:26" ht="15.5" x14ac:dyDescent="0.35">
      <c r="A12"/>
      <c r="B12" s="120" t="s">
        <v>500</v>
      </c>
      <c r="G12" s="20"/>
      <c r="H12" s="20"/>
      <c r="Q12" s="63"/>
      <c r="R12" s="13"/>
      <c r="S12" s="48"/>
      <c r="T12" s="58"/>
      <c r="U12" s="70"/>
    </row>
    <row r="13" spans="1:26" ht="15.5" x14ac:dyDescent="0.35">
      <c r="A13"/>
      <c r="B13" s="120"/>
      <c r="G13" s="20"/>
      <c r="H13" s="20"/>
      <c r="Q13" s="63"/>
      <c r="R13" s="13"/>
      <c r="S13" s="48"/>
      <c r="T13" s="58"/>
      <c r="U13" s="70"/>
    </row>
    <row r="14" spans="1:26" ht="15.5" x14ac:dyDescent="0.35">
      <c r="A14"/>
      <c r="G14" s="20"/>
      <c r="H14" s="20"/>
      <c r="J14" t="s">
        <v>504</v>
      </c>
      <c r="P14" s="69" t="s">
        <v>547</v>
      </c>
      <c r="Q14" s="67"/>
      <c r="R14" s="13"/>
      <c r="S14" s="68" t="s">
        <v>548</v>
      </c>
      <c r="T14" s="66"/>
      <c r="U14" s="70"/>
    </row>
    <row r="15" spans="1:26" ht="15.5" x14ac:dyDescent="0.35">
      <c r="A15"/>
      <c r="B15" s="26" t="s">
        <v>501</v>
      </c>
      <c r="G15" s="20"/>
      <c r="H15" s="20"/>
      <c r="P15" s="69"/>
      <c r="Q15" s="67"/>
      <c r="R15" s="13"/>
      <c r="S15" s="68"/>
      <c r="T15" s="66"/>
      <c r="U15" s="70"/>
    </row>
    <row r="16" spans="1:26" ht="16.5" customHeight="1" x14ac:dyDescent="0.45">
      <c r="A16"/>
      <c r="B16" s="121" t="s">
        <v>502</v>
      </c>
      <c r="G16" s="73"/>
      <c r="H16" s="118"/>
      <c r="M16" s="4"/>
      <c r="N16" s="4"/>
      <c r="O16" s="4"/>
      <c r="P16" s="69"/>
      <c r="Q16" s="67"/>
      <c r="R16" s="62"/>
      <c r="S16" s="68"/>
      <c r="T16" s="66"/>
      <c r="U16" s="71"/>
      <c r="V16" s="81"/>
      <c r="W16" s="81"/>
      <c r="X16" s="85"/>
      <c r="Y16" s="9"/>
      <c r="Z16" s="6"/>
    </row>
    <row r="17" spans="2:26" s="39" customFormat="1" ht="66" customHeight="1" x14ac:dyDescent="0.35">
      <c r="B17" s="39" t="s">
        <v>360</v>
      </c>
      <c r="C17" s="39" t="s">
        <v>156</v>
      </c>
      <c r="D17" s="28" t="s">
        <v>361</v>
      </c>
      <c r="E17" s="39" t="s">
        <v>155</v>
      </c>
      <c r="F17" s="39" t="s">
        <v>190</v>
      </c>
      <c r="G17" s="39" t="s">
        <v>499</v>
      </c>
      <c r="H17" s="39" t="s">
        <v>154</v>
      </c>
      <c r="I17" s="40" t="s">
        <v>198</v>
      </c>
      <c r="J17" s="41" t="s">
        <v>194</v>
      </c>
      <c r="K17" s="42" t="s">
        <v>403</v>
      </c>
      <c r="L17" s="42" t="s">
        <v>150</v>
      </c>
      <c r="M17" s="43" t="s">
        <v>213</v>
      </c>
      <c r="N17" s="43" t="s">
        <v>152</v>
      </c>
      <c r="O17" s="43" t="s">
        <v>404</v>
      </c>
      <c r="P17" s="41" t="s">
        <v>207</v>
      </c>
      <c r="Q17" s="43" t="s">
        <v>204</v>
      </c>
      <c r="R17" s="43" t="s">
        <v>206</v>
      </c>
      <c r="S17" s="57" t="s">
        <v>334</v>
      </c>
      <c r="T17" s="46" t="s">
        <v>335</v>
      </c>
      <c r="U17" s="72" t="s">
        <v>459</v>
      </c>
      <c r="V17" s="82" t="s">
        <v>465</v>
      </c>
      <c r="W17" s="82" t="s">
        <v>470</v>
      </c>
      <c r="X17" s="46" t="s">
        <v>458</v>
      </c>
      <c r="Y17" s="44" t="s">
        <v>421</v>
      </c>
      <c r="Z17" s="39" t="s">
        <v>153</v>
      </c>
    </row>
    <row r="18" spans="2:26" s="15" customFormat="1" x14ac:dyDescent="0.35">
      <c r="C18" s="15" t="s">
        <v>17</v>
      </c>
      <c r="D18" s="15" t="s">
        <v>17</v>
      </c>
      <c r="E18" s="36" t="s">
        <v>128</v>
      </c>
      <c r="F18" s="36"/>
      <c r="H18" s="36" t="s">
        <v>511</v>
      </c>
      <c r="I18" s="35">
        <v>1</v>
      </c>
      <c r="J18" s="15" t="s">
        <v>65</v>
      </c>
      <c r="K18" s="34">
        <v>2021</v>
      </c>
      <c r="L18" s="34"/>
      <c r="M18" s="15" t="s">
        <v>353</v>
      </c>
      <c r="O18" s="15" t="s">
        <v>637</v>
      </c>
      <c r="P18" s="15">
        <v>17</v>
      </c>
      <c r="Q18" s="24">
        <v>66300</v>
      </c>
      <c r="R18" s="122">
        <v>4.5454545454545456E-2</v>
      </c>
      <c r="S18" s="104">
        <v>0.77272727272727271</v>
      </c>
      <c r="T18" s="32">
        <v>3013.6363636363635</v>
      </c>
      <c r="U18" s="77" t="s">
        <v>461</v>
      </c>
      <c r="V18" s="83">
        <v>0.95450000000000002</v>
      </c>
      <c r="W18" s="83">
        <v>1</v>
      </c>
      <c r="X18" s="24">
        <v>63283.35</v>
      </c>
      <c r="Z18" s="15" t="s">
        <v>4</v>
      </c>
    </row>
    <row r="19" spans="2:26" s="15" customFormat="1" x14ac:dyDescent="0.35">
      <c r="C19" s="15" t="s">
        <v>17</v>
      </c>
      <c r="D19" s="15" t="s">
        <v>17</v>
      </c>
      <c r="E19" s="15" t="s">
        <v>128</v>
      </c>
      <c r="H19" s="15" t="s">
        <v>510</v>
      </c>
      <c r="I19" s="35">
        <v>1</v>
      </c>
      <c r="J19" s="36" t="s">
        <v>65</v>
      </c>
      <c r="K19" s="34">
        <v>2021</v>
      </c>
      <c r="L19" s="34"/>
      <c r="M19" s="15" t="s">
        <v>509</v>
      </c>
      <c r="P19" s="15">
        <v>28</v>
      </c>
      <c r="Q19" s="24">
        <v>109200</v>
      </c>
      <c r="R19" s="126">
        <v>0</v>
      </c>
      <c r="S19" s="24">
        <v>0</v>
      </c>
      <c r="T19" s="32">
        <v>0</v>
      </c>
      <c r="U19" s="77" t="s">
        <v>460</v>
      </c>
      <c r="V19" s="83"/>
      <c r="W19" s="83"/>
      <c r="X19" s="24">
        <f>W19*Q19</f>
        <v>0</v>
      </c>
      <c r="Y19" s="15" t="s">
        <v>457</v>
      </c>
      <c r="Z19" s="15" t="s">
        <v>4</v>
      </c>
    </row>
    <row r="20" spans="2:26" s="15" customFormat="1" x14ac:dyDescent="0.35">
      <c r="C20" s="15" t="s">
        <v>73</v>
      </c>
      <c r="D20" s="15" t="s">
        <v>73</v>
      </c>
      <c r="E20" s="15" t="s">
        <v>99</v>
      </c>
      <c r="H20" s="15" t="s">
        <v>516</v>
      </c>
      <c r="I20" s="35">
        <v>2</v>
      </c>
      <c r="J20" s="15" t="s">
        <v>371</v>
      </c>
      <c r="K20" s="34">
        <v>2023</v>
      </c>
      <c r="L20" s="34"/>
      <c r="M20" s="15" t="s">
        <v>338</v>
      </c>
      <c r="O20" s="15" t="s">
        <v>394</v>
      </c>
      <c r="P20" s="35">
        <v>83</v>
      </c>
      <c r="Q20" s="24">
        <v>323700</v>
      </c>
      <c r="R20" s="127">
        <v>4.6948356807511738E-3</v>
      </c>
      <c r="S20" s="96">
        <v>0.38967136150234744</v>
      </c>
      <c r="T20" s="32">
        <v>1519.7183098591549</v>
      </c>
      <c r="U20" s="77" t="s">
        <v>461</v>
      </c>
      <c r="V20" s="111">
        <v>0.98799999999999999</v>
      </c>
      <c r="W20" s="83">
        <v>1</v>
      </c>
      <c r="X20" s="24">
        <f>W20*Q20</f>
        <v>323700</v>
      </c>
      <c r="Z20" s="15" t="s">
        <v>4</v>
      </c>
    </row>
    <row r="21" spans="2:26" s="15" customFormat="1" x14ac:dyDescent="0.35">
      <c r="C21" s="15" t="s">
        <v>73</v>
      </c>
      <c r="D21" s="15" t="s">
        <v>73</v>
      </c>
      <c r="E21" s="36" t="s">
        <v>99</v>
      </c>
      <c r="F21" s="36"/>
      <c r="H21" s="36" t="s">
        <v>515</v>
      </c>
      <c r="I21" s="35">
        <v>2</v>
      </c>
      <c r="J21" s="36" t="s">
        <v>371</v>
      </c>
      <c r="K21" s="34">
        <v>2023</v>
      </c>
      <c r="L21" s="34"/>
      <c r="M21" s="15" t="s">
        <v>61</v>
      </c>
      <c r="P21" s="35">
        <v>83</v>
      </c>
      <c r="Q21" s="24">
        <v>323700</v>
      </c>
      <c r="R21" s="127">
        <v>7.4999999999999997E-3</v>
      </c>
      <c r="S21" s="96">
        <v>0.62249999999999994</v>
      </c>
      <c r="T21" s="32">
        <v>2427.75</v>
      </c>
      <c r="U21" s="77" t="s">
        <v>461</v>
      </c>
      <c r="V21" s="83"/>
      <c r="W21" s="83" t="s">
        <v>469</v>
      </c>
      <c r="X21" s="97"/>
      <c r="Z21" s="15" t="s">
        <v>4</v>
      </c>
    </row>
    <row r="22" spans="2:26" s="15" customFormat="1" x14ac:dyDescent="0.35">
      <c r="C22" s="15" t="s">
        <v>73</v>
      </c>
      <c r="D22" s="15" t="s">
        <v>73</v>
      </c>
      <c r="E22" s="15" t="s">
        <v>99</v>
      </c>
      <c r="H22" s="15" t="s">
        <v>513</v>
      </c>
      <c r="I22" s="35">
        <v>1</v>
      </c>
      <c r="J22" s="15" t="s">
        <v>65</v>
      </c>
      <c r="K22" s="34">
        <v>2016</v>
      </c>
      <c r="L22" s="34"/>
      <c r="M22" s="15" t="s">
        <v>514</v>
      </c>
      <c r="P22" s="109">
        <v>1</v>
      </c>
      <c r="Q22" s="24">
        <v>850</v>
      </c>
      <c r="R22" s="123">
        <v>1</v>
      </c>
      <c r="S22" s="24">
        <v>1</v>
      </c>
      <c r="T22" s="32">
        <v>850</v>
      </c>
      <c r="U22" s="78" t="s">
        <v>460</v>
      </c>
      <c r="V22" s="83"/>
      <c r="W22" s="83"/>
      <c r="X22" s="24">
        <f t="shared" ref="X22:X39" si="0">W22*Q22</f>
        <v>0</v>
      </c>
      <c r="Z22" s="15" t="s">
        <v>4</v>
      </c>
    </row>
    <row r="23" spans="2:26" s="15" customFormat="1" x14ac:dyDescent="0.35">
      <c r="C23" s="15" t="s">
        <v>73</v>
      </c>
      <c r="D23" s="36" t="s">
        <v>73</v>
      </c>
      <c r="E23" s="15" t="s">
        <v>76</v>
      </c>
      <c r="H23" s="15" t="s">
        <v>550</v>
      </c>
      <c r="I23" s="35">
        <v>1</v>
      </c>
      <c r="J23" s="15" t="s">
        <v>65</v>
      </c>
      <c r="K23" s="34">
        <v>2021</v>
      </c>
      <c r="L23" s="102"/>
      <c r="M23" s="15" t="s">
        <v>241</v>
      </c>
      <c r="O23" s="15" t="s">
        <v>407</v>
      </c>
      <c r="P23" s="113">
        <v>10</v>
      </c>
      <c r="Q23" s="24">
        <v>38000</v>
      </c>
      <c r="R23" s="123">
        <v>0.2</v>
      </c>
      <c r="S23" s="24">
        <v>2</v>
      </c>
      <c r="T23" s="32">
        <v>7600</v>
      </c>
      <c r="U23" s="77" t="s">
        <v>460</v>
      </c>
      <c r="V23" s="83"/>
      <c r="W23" s="83"/>
      <c r="X23" s="24">
        <f t="shared" si="0"/>
        <v>0</v>
      </c>
      <c r="Y23" s="15" t="s">
        <v>408</v>
      </c>
      <c r="Z23" s="15" t="s">
        <v>4</v>
      </c>
    </row>
    <row r="24" spans="2:26" s="15" customFormat="1" x14ac:dyDescent="0.35">
      <c r="C24" s="15" t="s">
        <v>73</v>
      </c>
      <c r="D24" s="15" t="s">
        <v>73</v>
      </c>
      <c r="E24" s="36" t="s">
        <v>99</v>
      </c>
      <c r="F24" s="36"/>
      <c r="H24" s="36" t="s">
        <v>512</v>
      </c>
      <c r="I24" s="35">
        <v>1</v>
      </c>
      <c r="J24" s="15" t="s">
        <v>65</v>
      </c>
      <c r="K24" s="34" t="s">
        <v>628</v>
      </c>
      <c r="L24" s="34"/>
      <c r="M24" s="15" t="s">
        <v>61</v>
      </c>
      <c r="P24" s="109">
        <v>2</v>
      </c>
      <c r="Q24" s="24">
        <v>1850</v>
      </c>
      <c r="R24" s="123">
        <v>1</v>
      </c>
      <c r="S24" s="15">
        <v>2</v>
      </c>
      <c r="T24" s="32">
        <v>1850</v>
      </c>
      <c r="U24" s="78" t="s">
        <v>460</v>
      </c>
      <c r="V24" s="83"/>
      <c r="W24" s="83"/>
      <c r="X24" s="32">
        <f t="shared" si="0"/>
        <v>0</v>
      </c>
      <c r="Z24" s="15" t="s">
        <v>4</v>
      </c>
    </row>
    <row r="25" spans="2:26" s="15" customFormat="1" x14ac:dyDescent="0.35">
      <c r="C25" s="15" t="s">
        <v>73</v>
      </c>
      <c r="D25" s="15" t="s">
        <v>73</v>
      </c>
      <c r="E25" s="36" t="s">
        <v>76</v>
      </c>
      <c r="F25" s="36"/>
      <c r="H25" s="36" t="s">
        <v>549</v>
      </c>
      <c r="I25" s="35">
        <v>1</v>
      </c>
      <c r="J25" s="15" t="s">
        <v>455</v>
      </c>
      <c r="K25" s="34">
        <v>2020</v>
      </c>
      <c r="L25" s="102"/>
      <c r="M25" s="15" t="s">
        <v>241</v>
      </c>
      <c r="O25" s="15" t="s">
        <v>407</v>
      </c>
      <c r="P25" s="124">
        <v>-10</v>
      </c>
      <c r="Q25" s="89">
        <v>-16500</v>
      </c>
      <c r="R25" s="123">
        <v>0</v>
      </c>
      <c r="S25" s="89" t="s">
        <v>356</v>
      </c>
      <c r="T25" s="32"/>
      <c r="U25" s="77" t="s">
        <v>631</v>
      </c>
      <c r="V25" s="83"/>
      <c r="W25" s="83"/>
      <c r="X25" s="24">
        <f t="shared" si="0"/>
        <v>0</v>
      </c>
      <c r="Y25" s="15" t="s">
        <v>627</v>
      </c>
      <c r="Z25" s="15" t="s">
        <v>4</v>
      </c>
    </row>
    <row r="26" spans="2:26" s="15" customFormat="1" x14ac:dyDescent="0.35">
      <c r="C26" s="49" t="s">
        <v>9</v>
      </c>
      <c r="D26" s="15" t="s">
        <v>9</v>
      </c>
      <c r="E26" s="15" t="s">
        <v>53</v>
      </c>
      <c r="H26" s="15" t="s">
        <v>56</v>
      </c>
      <c r="I26" s="35">
        <v>1</v>
      </c>
      <c r="J26" s="15" t="s">
        <v>65</v>
      </c>
      <c r="K26" s="34">
        <v>1995</v>
      </c>
      <c r="L26" s="34"/>
      <c r="M26" s="15" t="s">
        <v>52</v>
      </c>
      <c r="P26" s="109">
        <v>6</v>
      </c>
      <c r="Q26" s="104">
        <v>0.68</v>
      </c>
      <c r="R26" s="123">
        <v>1</v>
      </c>
      <c r="S26" s="24">
        <v>6</v>
      </c>
      <c r="T26" s="96">
        <v>0.68</v>
      </c>
      <c r="U26" s="106" t="s">
        <v>460</v>
      </c>
      <c r="V26" s="107"/>
      <c r="W26" s="107"/>
      <c r="X26" s="89">
        <f t="shared" si="0"/>
        <v>0</v>
      </c>
      <c r="Z26" s="15" t="s">
        <v>4</v>
      </c>
    </row>
    <row r="27" spans="2:26" s="15" customFormat="1" x14ac:dyDescent="0.35">
      <c r="B27" s="21"/>
      <c r="C27" s="49" t="s">
        <v>9</v>
      </c>
      <c r="D27" s="15" t="s">
        <v>9</v>
      </c>
      <c r="E27" s="15" t="s">
        <v>307</v>
      </c>
      <c r="F27" s="15" t="s">
        <v>357</v>
      </c>
      <c r="G27" s="21"/>
      <c r="H27" s="15" t="s">
        <v>223</v>
      </c>
      <c r="I27" s="35">
        <v>1</v>
      </c>
      <c r="J27" s="15" t="s">
        <v>65</v>
      </c>
      <c r="K27" s="34">
        <v>2016</v>
      </c>
      <c r="L27" s="34"/>
      <c r="M27" s="15" t="s">
        <v>264</v>
      </c>
      <c r="N27" s="15" t="s">
        <v>211</v>
      </c>
      <c r="P27" s="109">
        <v>1</v>
      </c>
      <c r="Q27" s="24">
        <v>900</v>
      </c>
      <c r="R27" s="123">
        <v>1</v>
      </c>
      <c r="S27" s="24">
        <v>1</v>
      </c>
      <c r="T27" s="32">
        <v>900</v>
      </c>
      <c r="U27" s="78" t="s">
        <v>460</v>
      </c>
      <c r="V27" s="83"/>
      <c r="W27" s="83"/>
      <c r="X27" s="24">
        <f t="shared" si="0"/>
        <v>0</v>
      </c>
      <c r="Z27" s="15" t="s">
        <v>4</v>
      </c>
    </row>
    <row r="28" spans="2:26" s="15" customFormat="1" x14ac:dyDescent="0.35">
      <c r="C28" s="49" t="s">
        <v>9</v>
      </c>
      <c r="D28" s="15" t="s">
        <v>9</v>
      </c>
      <c r="E28" s="15" t="s">
        <v>337</v>
      </c>
      <c r="F28" s="15" t="s">
        <v>54</v>
      </c>
      <c r="H28" s="15" t="s">
        <v>518</v>
      </c>
      <c r="I28" s="35">
        <v>1</v>
      </c>
      <c r="J28" s="15" t="s">
        <v>65</v>
      </c>
      <c r="K28" s="34">
        <v>2009</v>
      </c>
      <c r="L28" s="34"/>
      <c r="M28" s="15" t="s">
        <v>52</v>
      </c>
      <c r="O28" s="15" t="s">
        <v>55</v>
      </c>
      <c r="P28" s="15">
        <v>4</v>
      </c>
      <c r="Q28" s="24">
        <v>8000</v>
      </c>
      <c r="R28" s="98">
        <v>0.12</v>
      </c>
      <c r="S28" s="104">
        <v>0.48</v>
      </c>
      <c r="T28" s="32">
        <v>960</v>
      </c>
      <c r="U28" s="77" t="s">
        <v>11</v>
      </c>
      <c r="V28" s="83"/>
      <c r="W28" s="83"/>
      <c r="X28" s="24">
        <f t="shared" si="0"/>
        <v>0</v>
      </c>
      <c r="Y28" s="15" t="s">
        <v>105</v>
      </c>
      <c r="Z28" s="15" t="s">
        <v>4</v>
      </c>
    </row>
    <row r="29" spans="2:26" s="15" customFormat="1" x14ac:dyDescent="0.35">
      <c r="C29" s="49" t="s">
        <v>9</v>
      </c>
      <c r="D29" s="15" t="s">
        <v>9</v>
      </c>
      <c r="E29" s="15" t="s">
        <v>337</v>
      </c>
      <c r="F29" s="15" t="s">
        <v>54</v>
      </c>
      <c r="H29" s="15" t="s">
        <v>517</v>
      </c>
      <c r="I29" s="35">
        <v>1</v>
      </c>
      <c r="J29" s="36" t="s">
        <v>65</v>
      </c>
      <c r="K29" s="34">
        <v>2009</v>
      </c>
      <c r="L29" s="34"/>
      <c r="M29" s="15" t="s">
        <v>177</v>
      </c>
      <c r="P29" s="15">
        <v>4</v>
      </c>
      <c r="Q29" s="24">
        <v>8000</v>
      </c>
      <c r="R29" s="122">
        <v>7.7499999999999999E-2</v>
      </c>
      <c r="S29" s="104">
        <v>0.31</v>
      </c>
      <c r="T29" s="32">
        <v>620</v>
      </c>
      <c r="U29" s="77" t="s">
        <v>11</v>
      </c>
      <c r="V29" s="83"/>
      <c r="W29" s="83"/>
      <c r="X29" s="24">
        <f t="shared" si="0"/>
        <v>0</v>
      </c>
      <c r="Y29" s="15" t="s">
        <v>106</v>
      </c>
      <c r="Z29" s="15" t="s">
        <v>4</v>
      </c>
    </row>
    <row r="30" spans="2:26" s="15" customFormat="1" x14ac:dyDescent="0.35">
      <c r="B30" s="21"/>
      <c r="C30" s="15" t="s">
        <v>6</v>
      </c>
      <c r="D30" s="15" t="s">
        <v>202</v>
      </c>
      <c r="E30" s="36" t="s">
        <v>63</v>
      </c>
      <c r="F30" s="36"/>
      <c r="G30" s="21"/>
      <c r="H30" s="36" t="s">
        <v>348</v>
      </c>
      <c r="I30" s="35">
        <v>1</v>
      </c>
      <c r="J30" s="15" t="s">
        <v>65</v>
      </c>
      <c r="K30" s="34">
        <v>2013</v>
      </c>
      <c r="L30" s="34"/>
      <c r="M30" s="15" t="s">
        <v>264</v>
      </c>
      <c r="N30" s="15" t="s">
        <v>211</v>
      </c>
      <c r="P30" s="109">
        <v>1</v>
      </c>
      <c r="Q30" s="24">
        <v>2000</v>
      </c>
      <c r="R30" s="123">
        <v>1</v>
      </c>
      <c r="S30" s="24">
        <v>1</v>
      </c>
      <c r="T30" s="32">
        <v>2000</v>
      </c>
      <c r="U30" s="78" t="s">
        <v>460</v>
      </c>
      <c r="V30" s="83"/>
      <c r="W30" s="83"/>
      <c r="X30" s="32">
        <f t="shared" si="0"/>
        <v>0</v>
      </c>
      <c r="Z30" s="15" t="s">
        <v>4</v>
      </c>
    </row>
    <row r="31" spans="2:26" s="15" customFormat="1" x14ac:dyDescent="0.35">
      <c r="B31" s="21"/>
      <c r="C31" s="15" t="s">
        <v>6</v>
      </c>
      <c r="D31" s="15" t="s">
        <v>202</v>
      </c>
      <c r="E31" s="15" t="s">
        <v>63</v>
      </c>
      <c r="G31" s="21"/>
      <c r="H31" s="15" t="s">
        <v>350</v>
      </c>
      <c r="I31" s="35">
        <v>1</v>
      </c>
      <c r="J31" s="15" t="s">
        <v>65</v>
      </c>
      <c r="K31" s="34">
        <v>2013</v>
      </c>
      <c r="L31" s="34"/>
      <c r="M31" s="15" t="s">
        <v>264</v>
      </c>
      <c r="N31" s="15" t="s">
        <v>211</v>
      </c>
      <c r="P31" s="109">
        <v>1</v>
      </c>
      <c r="Q31" s="24">
        <v>2000</v>
      </c>
      <c r="R31" s="123">
        <v>1</v>
      </c>
      <c r="S31" s="24">
        <v>1</v>
      </c>
      <c r="T31" s="32">
        <v>2000</v>
      </c>
      <c r="U31" s="78" t="s">
        <v>460</v>
      </c>
      <c r="V31" s="83"/>
      <c r="W31" s="83"/>
      <c r="X31" s="32">
        <f t="shared" si="0"/>
        <v>0</v>
      </c>
      <c r="Z31" s="15" t="s">
        <v>4</v>
      </c>
    </row>
    <row r="32" spans="2:26" s="15" customFormat="1" x14ac:dyDescent="0.35">
      <c r="B32" s="21"/>
      <c r="C32" s="15" t="s">
        <v>6</v>
      </c>
      <c r="D32" s="15" t="s">
        <v>202</v>
      </c>
      <c r="E32" s="36" t="s">
        <v>63</v>
      </c>
      <c r="F32" s="36"/>
      <c r="G32" s="21"/>
      <c r="H32" s="36" t="s">
        <v>346</v>
      </c>
      <c r="I32" s="35">
        <v>1</v>
      </c>
      <c r="J32" s="15" t="s">
        <v>65</v>
      </c>
      <c r="K32" s="34">
        <v>2013</v>
      </c>
      <c r="L32" s="34"/>
      <c r="M32" s="15" t="s">
        <v>264</v>
      </c>
      <c r="N32" s="15" t="s">
        <v>211</v>
      </c>
      <c r="P32" s="109">
        <v>1</v>
      </c>
      <c r="Q32" s="24">
        <v>2000</v>
      </c>
      <c r="R32" s="123">
        <v>1</v>
      </c>
      <c r="S32" s="24">
        <v>1</v>
      </c>
      <c r="T32" s="32">
        <v>2000</v>
      </c>
      <c r="U32" s="78" t="s">
        <v>460</v>
      </c>
      <c r="V32" s="83"/>
      <c r="W32" s="83"/>
      <c r="X32" s="32">
        <f t="shared" si="0"/>
        <v>0</v>
      </c>
      <c r="Z32" s="15" t="s">
        <v>4</v>
      </c>
    </row>
    <row r="33" spans="2:26" s="15" customFormat="1" x14ac:dyDescent="0.35">
      <c r="C33" s="15" t="s">
        <v>6</v>
      </c>
      <c r="D33" s="15" t="s">
        <v>70</v>
      </c>
      <c r="E33" s="15" t="s">
        <v>129</v>
      </c>
      <c r="H33" s="15" t="s">
        <v>524</v>
      </c>
      <c r="I33" s="35">
        <v>1</v>
      </c>
      <c r="J33" s="36" t="s">
        <v>65</v>
      </c>
      <c r="K33" s="34">
        <v>2016</v>
      </c>
      <c r="L33" s="34"/>
      <c r="M33" s="15" t="s">
        <v>523</v>
      </c>
      <c r="P33" s="15">
        <v>4</v>
      </c>
      <c r="Q33" s="24">
        <v>12000</v>
      </c>
      <c r="R33" s="98">
        <v>0</v>
      </c>
      <c r="S33" s="24" t="s">
        <v>89</v>
      </c>
      <c r="T33" s="32"/>
      <c r="U33" s="78" t="s">
        <v>460</v>
      </c>
      <c r="V33" s="83"/>
      <c r="W33" s="83"/>
      <c r="X33" s="32">
        <f t="shared" si="0"/>
        <v>0</v>
      </c>
      <c r="Y33" s="24" t="s">
        <v>89</v>
      </c>
      <c r="Z33" s="15" t="s">
        <v>4</v>
      </c>
    </row>
    <row r="34" spans="2:26" s="15" customFormat="1" x14ac:dyDescent="0.35">
      <c r="C34" s="15" t="s">
        <v>6</v>
      </c>
      <c r="D34" s="15" t="s">
        <v>276</v>
      </c>
      <c r="E34" s="15" t="s">
        <v>10</v>
      </c>
      <c r="H34" s="15" t="s">
        <v>522</v>
      </c>
      <c r="I34" s="35">
        <v>1</v>
      </c>
      <c r="J34" s="15" t="s">
        <v>65</v>
      </c>
      <c r="K34" s="34">
        <v>2016</v>
      </c>
      <c r="L34" s="34"/>
      <c r="M34" s="15" t="s">
        <v>521</v>
      </c>
      <c r="N34" s="15" t="s">
        <v>464</v>
      </c>
      <c r="P34" s="109">
        <v>4</v>
      </c>
      <c r="Q34" s="24">
        <v>10000</v>
      </c>
      <c r="R34" s="98">
        <v>1</v>
      </c>
      <c r="S34" s="24">
        <v>4</v>
      </c>
      <c r="T34" s="32">
        <v>10000</v>
      </c>
      <c r="U34" s="78" t="s">
        <v>460</v>
      </c>
      <c r="V34" s="83"/>
      <c r="W34" s="83"/>
      <c r="X34" s="32">
        <f t="shared" si="0"/>
        <v>0</v>
      </c>
      <c r="Z34" s="15" t="s">
        <v>4</v>
      </c>
    </row>
    <row r="35" spans="2:26" s="15" customFormat="1" x14ac:dyDescent="0.35">
      <c r="C35" s="15" t="s">
        <v>6</v>
      </c>
      <c r="D35" s="15" t="s">
        <v>202</v>
      </c>
      <c r="E35" s="36" t="s">
        <v>209</v>
      </c>
      <c r="F35" s="36"/>
      <c r="H35" s="15" t="s">
        <v>520</v>
      </c>
      <c r="I35" s="35">
        <v>1</v>
      </c>
      <c r="J35" s="15" t="s">
        <v>65</v>
      </c>
      <c r="K35" s="34">
        <v>2019</v>
      </c>
      <c r="L35" s="34"/>
      <c r="M35" s="49" t="s">
        <v>369</v>
      </c>
      <c r="N35" s="49"/>
      <c r="P35" s="92">
        <v>3</v>
      </c>
      <c r="Q35" s="24">
        <v>10350.000000000002</v>
      </c>
      <c r="R35" s="98">
        <v>1</v>
      </c>
      <c r="S35" s="94">
        <v>3</v>
      </c>
      <c r="T35" s="95">
        <v>10350.000000000002</v>
      </c>
      <c r="U35" s="77" t="s">
        <v>460</v>
      </c>
      <c r="V35" s="83"/>
      <c r="W35" s="83"/>
      <c r="X35" s="24">
        <f t="shared" si="0"/>
        <v>0</v>
      </c>
      <c r="Y35" s="15" t="s">
        <v>368</v>
      </c>
      <c r="Z35" s="15" t="s">
        <v>4</v>
      </c>
    </row>
    <row r="36" spans="2:26" s="15" customFormat="1" x14ac:dyDescent="0.35">
      <c r="C36" s="15" t="s">
        <v>6</v>
      </c>
      <c r="D36" s="15" t="s">
        <v>202</v>
      </c>
      <c r="E36" s="15" t="s">
        <v>367</v>
      </c>
      <c r="F36" s="15" t="s">
        <v>164</v>
      </c>
      <c r="H36" s="15" t="s">
        <v>519</v>
      </c>
      <c r="I36" s="87">
        <v>1</v>
      </c>
      <c r="J36" s="36" t="s">
        <v>65</v>
      </c>
      <c r="K36" s="34">
        <v>2020</v>
      </c>
      <c r="L36" s="34"/>
      <c r="M36" s="49" t="s">
        <v>369</v>
      </c>
      <c r="N36" s="49"/>
      <c r="O36" s="15" t="s">
        <v>370</v>
      </c>
      <c r="P36" s="88">
        <v>11</v>
      </c>
      <c r="Q36" s="24">
        <v>46200</v>
      </c>
      <c r="R36" s="98">
        <v>0.36363636363636365</v>
      </c>
      <c r="S36" s="91">
        <v>4</v>
      </c>
      <c r="T36" s="32">
        <v>16800</v>
      </c>
      <c r="U36" s="77" t="s">
        <v>460</v>
      </c>
      <c r="V36" s="83"/>
      <c r="W36" s="83"/>
      <c r="X36" s="24">
        <f t="shared" si="0"/>
        <v>0</v>
      </c>
      <c r="Y36" s="15" t="s">
        <v>372</v>
      </c>
      <c r="Z36" s="15" t="s">
        <v>4</v>
      </c>
    </row>
    <row r="37" spans="2:26" s="15" customFormat="1" x14ac:dyDescent="0.35">
      <c r="C37" s="15" t="s">
        <v>6</v>
      </c>
      <c r="D37" s="15" t="s">
        <v>276</v>
      </c>
      <c r="E37" s="15" t="s">
        <v>22</v>
      </c>
      <c r="H37" s="15" t="s">
        <v>525</v>
      </c>
      <c r="I37" s="35">
        <v>2</v>
      </c>
      <c r="J37" s="15" t="s">
        <v>371</v>
      </c>
      <c r="K37" s="34">
        <v>2023</v>
      </c>
      <c r="L37" s="34"/>
      <c r="M37" s="15" t="s">
        <v>526</v>
      </c>
      <c r="O37" s="15" t="s">
        <v>418</v>
      </c>
      <c r="P37" s="15">
        <v>4</v>
      </c>
      <c r="Q37" s="24">
        <v>16800</v>
      </c>
      <c r="R37" s="123">
        <v>0.5</v>
      </c>
      <c r="S37" s="24">
        <v>2</v>
      </c>
      <c r="T37" s="32">
        <v>8400</v>
      </c>
      <c r="U37" s="77" t="s">
        <v>460</v>
      </c>
      <c r="V37" s="83"/>
      <c r="W37" s="83"/>
      <c r="X37" s="24">
        <f t="shared" si="0"/>
        <v>0</v>
      </c>
      <c r="Y37" s="15" t="s">
        <v>419</v>
      </c>
      <c r="Z37" s="15" t="s">
        <v>4</v>
      </c>
    </row>
    <row r="38" spans="2:26" s="15" customFormat="1" x14ac:dyDescent="0.35">
      <c r="B38" s="21"/>
      <c r="C38" s="15" t="s">
        <v>1</v>
      </c>
      <c r="D38" s="15" t="s">
        <v>1</v>
      </c>
      <c r="E38" s="15" t="s">
        <v>217</v>
      </c>
      <c r="F38" s="15" t="s">
        <v>216</v>
      </c>
      <c r="G38" s="21"/>
      <c r="H38" s="15" t="s">
        <v>352</v>
      </c>
      <c r="I38" s="35">
        <v>1</v>
      </c>
      <c r="J38" s="36" t="s">
        <v>65</v>
      </c>
      <c r="K38" s="34">
        <v>2012</v>
      </c>
      <c r="L38" s="34"/>
      <c r="M38" s="15" t="s">
        <v>264</v>
      </c>
      <c r="N38" s="15" t="s">
        <v>211</v>
      </c>
      <c r="P38" s="109">
        <v>1</v>
      </c>
      <c r="Q38" s="24">
        <v>2300</v>
      </c>
      <c r="R38" s="123">
        <v>1</v>
      </c>
      <c r="S38" s="24">
        <v>1</v>
      </c>
      <c r="T38" s="32">
        <v>2300</v>
      </c>
      <c r="U38" s="78" t="s">
        <v>460</v>
      </c>
      <c r="V38" s="83"/>
      <c r="W38" s="83"/>
      <c r="X38" s="32">
        <f t="shared" si="0"/>
        <v>0</v>
      </c>
      <c r="Z38" s="15" t="s">
        <v>4</v>
      </c>
    </row>
    <row r="39" spans="2:26" s="15" customFormat="1" x14ac:dyDescent="0.35">
      <c r="B39" s="21"/>
      <c r="C39" s="15" t="s">
        <v>1</v>
      </c>
      <c r="D39" s="15" t="s">
        <v>1</v>
      </c>
      <c r="E39" s="15" t="s">
        <v>217</v>
      </c>
      <c r="G39" s="21"/>
      <c r="H39" s="15" t="s">
        <v>351</v>
      </c>
      <c r="I39" s="35">
        <v>1</v>
      </c>
      <c r="J39" s="15" t="s">
        <v>65</v>
      </c>
      <c r="K39" s="34">
        <v>2012</v>
      </c>
      <c r="L39" s="34"/>
      <c r="M39" s="15" t="s">
        <v>264</v>
      </c>
      <c r="N39" s="15" t="s">
        <v>211</v>
      </c>
      <c r="P39" s="109">
        <v>1</v>
      </c>
      <c r="Q39" s="24">
        <v>2300</v>
      </c>
      <c r="R39" s="123">
        <v>1</v>
      </c>
      <c r="S39" s="24">
        <v>1</v>
      </c>
      <c r="T39" s="32">
        <v>2300</v>
      </c>
      <c r="U39" s="78" t="s">
        <v>460</v>
      </c>
      <c r="V39" s="83"/>
      <c r="W39" s="83"/>
      <c r="X39" s="24">
        <f t="shared" si="0"/>
        <v>0</v>
      </c>
      <c r="Z39" s="15" t="s">
        <v>4</v>
      </c>
    </row>
    <row r="40" spans="2:26" s="15" customFormat="1" x14ac:dyDescent="0.35">
      <c r="C40" s="15" t="s">
        <v>72</v>
      </c>
      <c r="D40" s="15" t="s">
        <v>281</v>
      </c>
      <c r="E40" s="36" t="s">
        <v>148</v>
      </c>
      <c r="F40" s="36"/>
      <c r="H40" s="36" t="s">
        <v>531</v>
      </c>
      <c r="I40" s="35">
        <v>1</v>
      </c>
      <c r="J40" s="36" t="s">
        <v>65</v>
      </c>
      <c r="K40" s="34">
        <v>2021</v>
      </c>
      <c r="L40" s="102"/>
      <c r="M40" s="15" t="s">
        <v>180</v>
      </c>
      <c r="O40" s="15" t="s">
        <v>638</v>
      </c>
      <c r="P40" s="128">
        <v>5</v>
      </c>
      <c r="Q40" s="24">
        <v>21000</v>
      </c>
      <c r="R40" s="98">
        <v>0.25</v>
      </c>
      <c r="S40" s="104">
        <v>1.25</v>
      </c>
      <c r="T40" s="32">
        <v>5250</v>
      </c>
      <c r="U40" s="78" t="s">
        <v>461</v>
      </c>
      <c r="V40" s="83">
        <v>0.25</v>
      </c>
      <c r="W40" s="83">
        <v>0.5</v>
      </c>
      <c r="X40" s="24">
        <v>5250</v>
      </c>
      <c r="Z40" s="15" t="s">
        <v>4</v>
      </c>
    </row>
    <row r="41" spans="2:26" s="15" customFormat="1" x14ac:dyDescent="0.35">
      <c r="C41" s="15" t="s">
        <v>72</v>
      </c>
      <c r="D41" s="15" t="s">
        <v>281</v>
      </c>
      <c r="E41" s="36" t="s">
        <v>170</v>
      </c>
      <c r="F41" s="36"/>
      <c r="H41" s="36" t="s">
        <v>530</v>
      </c>
      <c r="I41" s="35">
        <v>1</v>
      </c>
      <c r="J41" s="15" t="s">
        <v>65</v>
      </c>
      <c r="K41" s="34">
        <v>2021</v>
      </c>
      <c r="L41" s="102"/>
      <c r="M41" s="15" t="s">
        <v>303</v>
      </c>
      <c r="O41" s="15" t="s">
        <v>191</v>
      </c>
      <c r="P41" s="15">
        <v>4</v>
      </c>
      <c r="Q41" s="24">
        <v>18000</v>
      </c>
      <c r="R41" s="98">
        <v>0.5</v>
      </c>
      <c r="S41" s="24">
        <v>2</v>
      </c>
      <c r="T41" s="32">
        <v>9000</v>
      </c>
      <c r="U41" s="78" t="s">
        <v>461</v>
      </c>
      <c r="V41" s="83">
        <v>0.5</v>
      </c>
      <c r="W41" s="83">
        <v>1</v>
      </c>
      <c r="X41" s="24">
        <v>9000</v>
      </c>
      <c r="Z41" s="15" t="s">
        <v>4</v>
      </c>
    </row>
    <row r="42" spans="2:26" s="15" customFormat="1" x14ac:dyDescent="0.35">
      <c r="C42" s="15" t="s">
        <v>72</v>
      </c>
      <c r="D42" s="15" t="s">
        <v>281</v>
      </c>
      <c r="E42" s="15" t="s">
        <v>95</v>
      </c>
      <c r="F42" s="15" t="s">
        <v>75</v>
      </c>
      <c r="H42" s="15" t="s">
        <v>529</v>
      </c>
      <c r="I42" s="35">
        <v>1</v>
      </c>
      <c r="J42" s="15" t="s">
        <v>65</v>
      </c>
      <c r="K42" s="34">
        <v>2015</v>
      </c>
      <c r="L42" s="34"/>
      <c r="M42" s="15" t="s">
        <v>528</v>
      </c>
      <c r="P42" s="109">
        <v>1</v>
      </c>
      <c r="Q42" s="24">
        <v>2400</v>
      </c>
      <c r="R42" s="123">
        <v>1</v>
      </c>
      <c r="S42" s="24">
        <v>1</v>
      </c>
      <c r="T42" s="32">
        <v>2400</v>
      </c>
      <c r="U42" s="78" t="s">
        <v>460</v>
      </c>
      <c r="V42" s="83"/>
      <c r="W42" s="83"/>
      <c r="X42" s="24">
        <f>W42*Q42</f>
        <v>0</v>
      </c>
      <c r="Z42" s="15" t="s">
        <v>4</v>
      </c>
    </row>
    <row r="43" spans="2:26" s="15" customFormat="1" x14ac:dyDescent="0.35">
      <c r="C43" s="15" t="s">
        <v>72</v>
      </c>
      <c r="D43" s="15" t="s">
        <v>281</v>
      </c>
      <c r="E43" s="15" t="s">
        <v>95</v>
      </c>
      <c r="F43" s="15" t="s">
        <v>75</v>
      </c>
      <c r="H43" s="15" t="s">
        <v>527</v>
      </c>
      <c r="I43" s="35">
        <v>1</v>
      </c>
      <c r="J43" s="15" t="s">
        <v>65</v>
      </c>
      <c r="K43" s="34">
        <v>2020</v>
      </c>
      <c r="L43" s="102"/>
      <c r="M43" s="15" t="s">
        <v>85</v>
      </c>
      <c r="O43" s="15" t="s">
        <v>302</v>
      </c>
      <c r="P43" s="15">
        <v>2</v>
      </c>
      <c r="Q43" s="24">
        <v>9000</v>
      </c>
      <c r="R43" s="98">
        <v>1</v>
      </c>
      <c r="S43" s="24">
        <v>2</v>
      </c>
      <c r="T43" s="32">
        <v>9000</v>
      </c>
      <c r="U43" s="78" t="s">
        <v>460</v>
      </c>
      <c r="V43" s="83"/>
      <c r="W43" s="83"/>
      <c r="X43" s="24">
        <f>W43*Q43</f>
        <v>0</v>
      </c>
      <c r="Z43" s="15" t="s">
        <v>4</v>
      </c>
    </row>
    <row r="44" spans="2:26" s="15" customFormat="1" x14ac:dyDescent="0.35">
      <c r="C44" s="15" t="s">
        <v>72</v>
      </c>
      <c r="D44" s="15" t="s">
        <v>281</v>
      </c>
      <c r="E44" s="15" t="s">
        <v>95</v>
      </c>
      <c r="H44" s="15" t="s">
        <v>532</v>
      </c>
      <c r="I44" s="35">
        <v>1</v>
      </c>
      <c r="J44" s="15" t="s">
        <v>65</v>
      </c>
      <c r="K44" s="34">
        <v>2021</v>
      </c>
      <c r="L44" s="102"/>
      <c r="M44" s="15" t="s">
        <v>263</v>
      </c>
      <c r="N44" s="15" t="s">
        <v>2</v>
      </c>
      <c r="P44" s="15">
        <v>3</v>
      </c>
      <c r="Q44" s="24">
        <v>13500</v>
      </c>
      <c r="R44" s="98">
        <v>1</v>
      </c>
      <c r="S44" s="24">
        <v>3</v>
      </c>
      <c r="T44" s="32">
        <v>13500</v>
      </c>
      <c r="U44" s="79" t="s">
        <v>460</v>
      </c>
      <c r="V44" s="83"/>
      <c r="W44" s="83"/>
      <c r="X44" s="24">
        <f>W44*Q44</f>
        <v>0</v>
      </c>
      <c r="Y44" s="15" t="s">
        <v>434</v>
      </c>
      <c r="Z44" s="15" t="s">
        <v>4</v>
      </c>
    </row>
    <row r="45" spans="2:26" s="15" customFormat="1" x14ac:dyDescent="0.35">
      <c r="C45" s="15" t="s">
        <v>72</v>
      </c>
      <c r="D45" s="15" t="s">
        <v>281</v>
      </c>
      <c r="E45" s="15" t="s">
        <v>167</v>
      </c>
      <c r="H45" s="15" t="s">
        <v>533</v>
      </c>
      <c r="I45" s="35">
        <v>2</v>
      </c>
      <c r="J45" s="36" t="s">
        <v>371</v>
      </c>
      <c r="K45" s="34">
        <v>2023</v>
      </c>
      <c r="L45" s="34"/>
      <c r="M45" s="15" t="s">
        <v>240</v>
      </c>
      <c r="O45" s="15" t="s">
        <v>432</v>
      </c>
      <c r="P45" s="15">
        <v>3</v>
      </c>
      <c r="Q45" s="24">
        <v>12600</v>
      </c>
      <c r="R45" s="108">
        <v>0.5</v>
      </c>
      <c r="S45" s="99">
        <v>1.5</v>
      </c>
      <c r="T45" s="32">
        <v>6300</v>
      </c>
      <c r="U45" s="77" t="s">
        <v>460</v>
      </c>
      <c r="V45" s="83"/>
      <c r="W45" s="83"/>
      <c r="X45" s="24">
        <f>W45*Q45</f>
        <v>0</v>
      </c>
      <c r="Y45" s="15" t="s">
        <v>433</v>
      </c>
      <c r="Z45" s="15" t="s">
        <v>4</v>
      </c>
    </row>
    <row r="46" spans="2:26" s="15" customFormat="1" x14ac:dyDescent="0.35">
      <c r="C46" s="15" t="s">
        <v>16</v>
      </c>
      <c r="D46" s="15" t="s">
        <v>277</v>
      </c>
      <c r="E46" s="36" t="s">
        <v>74</v>
      </c>
      <c r="F46" s="36"/>
      <c r="H46" s="15" t="s">
        <v>534</v>
      </c>
      <c r="I46" s="35">
        <v>1</v>
      </c>
      <c r="J46" s="15" t="s">
        <v>65</v>
      </c>
      <c r="K46" s="34">
        <v>2019</v>
      </c>
      <c r="L46" s="34"/>
      <c r="M46" s="49" t="s">
        <v>535</v>
      </c>
      <c r="N46" s="49"/>
      <c r="O46" s="15" t="s">
        <v>476</v>
      </c>
      <c r="P46" s="15">
        <v>4</v>
      </c>
      <c r="Q46" s="24">
        <v>14400</v>
      </c>
      <c r="R46" s="98">
        <v>0.5</v>
      </c>
      <c r="S46" s="24">
        <v>2</v>
      </c>
      <c r="T46" s="32">
        <v>7200</v>
      </c>
      <c r="U46" s="77" t="s">
        <v>461</v>
      </c>
      <c r="V46" s="83">
        <v>0.5</v>
      </c>
      <c r="W46" s="83">
        <v>1</v>
      </c>
      <c r="X46" s="24">
        <v>7200</v>
      </c>
      <c r="Z46" s="15" t="s">
        <v>4</v>
      </c>
    </row>
    <row r="47" spans="2:26" s="15" customFormat="1" x14ac:dyDescent="0.35">
      <c r="C47" s="15" t="s">
        <v>16</v>
      </c>
      <c r="D47" s="15" t="s">
        <v>288</v>
      </c>
      <c r="E47" s="15" t="s">
        <v>15</v>
      </c>
      <c r="H47" s="15" t="s">
        <v>484</v>
      </c>
      <c r="I47" s="35">
        <v>2</v>
      </c>
      <c r="J47" s="15" t="s">
        <v>371</v>
      </c>
      <c r="K47" s="34">
        <v>2022</v>
      </c>
      <c r="L47" s="34"/>
      <c r="M47" s="15" t="s">
        <v>474</v>
      </c>
      <c r="N47" s="15" t="s">
        <v>471</v>
      </c>
      <c r="O47" s="15" t="s">
        <v>634</v>
      </c>
      <c r="P47" s="15">
        <v>3</v>
      </c>
      <c r="Q47" s="24">
        <v>13500</v>
      </c>
      <c r="R47" s="98">
        <v>0</v>
      </c>
      <c r="S47" s="24">
        <v>0</v>
      </c>
      <c r="T47" s="32">
        <v>0</v>
      </c>
      <c r="U47" s="77" t="s">
        <v>461</v>
      </c>
      <c r="V47" s="83">
        <v>0.25</v>
      </c>
      <c r="W47" s="83">
        <v>0.25</v>
      </c>
      <c r="X47" s="142">
        <f t="shared" ref="X47:X55" si="1">W47*Q47</f>
        <v>3375</v>
      </c>
      <c r="Y47" s="15" t="s">
        <v>477</v>
      </c>
      <c r="Z47" s="15" t="s">
        <v>4</v>
      </c>
    </row>
    <row r="48" spans="2:26" s="15" customFormat="1" x14ac:dyDescent="0.35">
      <c r="C48" s="15" t="s">
        <v>16</v>
      </c>
      <c r="D48" s="15" t="s">
        <v>288</v>
      </c>
      <c r="E48" s="15" t="s">
        <v>186</v>
      </c>
      <c r="F48" s="15" t="s">
        <v>144</v>
      </c>
      <c r="H48" s="15" t="s">
        <v>478</v>
      </c>
      <c r="I48" s="35">
        <v>2</v>
      </c>
      <c r="J48" s="15" t="s">
        <v>371</v>
      </c>
      <c r="K48" s="34">
        <v>2022</v>
      </c>
      <c r="L48" s="34"/>
      <c r="M48" s="15" t="s">
        <v>405</v>
      </c>
      <c r="N48" s="15" t="s">
        <v>373</v>
      </c>
      <c r="O48" s="15" t="s">
        <v>634</v>
      </c>
      <c r="P48" s="15">
        <v>1</v>
      </c>
      <c r="Q48" s="24">
        <v>4300</v>
      </c>
      <c r="R48" s="123">
        <v>0.75</v>
      </c>
      <c r="S48" s="104">
        <v>0.75</v>
      </c>
      <c r="T48" s="32">
        <v>3225</v>
      </c>
      <c r="U48" s="77" t="s">
        <v>461</v>
      </c>
      <c r="V48" s="83">
        <v>0.25</v>
      </c>
      <c r="W48" s="83">
        <v>1</v>
      </c>
      <c r="X48" s="142">
        <f t="shared" si="1"/>
        <v>4300</v>
      </c>
      <c r="Y48" s="15" t="s">
        <v>635</v>
      </c>
      <c r="Z48" s="15" t="s">
        <v>4</v>
      </c>
    </row>
    <row r="49" spans="2:26" s="15" customFormat="1" x14ac:dyDescent="0.35">
      <c r="C49" s="15" t="s">
        <v>16</v>
      </c>
      <c r="D49" s="15" t="s">
        <v>288</v>
      </c>
      <c r="E49" s="15" t="s">
        <v>255</v>
      </c>
      <c r="F49" s="15" t="s">
        <v>82</v>
      </c>
      <c r="H49" s="15" t="s">
        <v>481</v>
      </c>
      <c r="I49" s="35">
        <v>2</v>
      </c>
      <c r="J49" s="15" t="s">
        <v>371</v>
      </c>
      <c r="K49" s="34">
        <v>2023</v>
      </c>
      <c r="L49" s="34"/>
      <c r="M49" s="15" t="s">
        <v>473</v>
      </c>
      <c r="O49" s="15" t="s">
        <v>634</v>
      </c>
      <c r="P49" s="15">
        <v>8</v>
      </c>
      <c r="Q49" s="24">
        <v>34400</v>
      </c>
      <c r="R49" s="98">
        <v>0</v>
      </c>
      <c r="S49" s="104">
        <v>0</v>
      </c>
      <c r="T49" s="32">
        <v>0</v>
      </c>
      <c r="U49" s="77" t="s">
        <v>461</v>
      </c>
      <c r="V49" s="83">
        <v>0.25</v>
      </c>
      <c r="W49" s="83">
        <v>0.25</v>
      </c>
      <c r="X49" s="24">
        <f t="shared" si="1"/>
        <v>8600</v>
      </c>
      <c r="Y49" s="15" t="s">
        <v>477</v>
      </c>
      <c r="Z49" s="15" t="s">
        <v>4</v>
      </c>
    </row>
    <row r="50" spans="2:26" s="15" customFormat="1" x14ac:dyDescent="0.35">
      <c r="C50" s="15" t="s">
        <v>16</v>
      </c>
      <c r="D50" s="15" t="s">
        <v>288</v>
      </c>
      <c r="E50" s="15" t="s">
        <v>15</v>
      </c>
      <c r="H50" s="15" t="s">
        <v>480</v>
      </c>
      <c r="I50" s="35">
        <v>2</v>
      </c>
      <c r="J50" s="15" t="s">
        <v>371</v>
      </c>
      <c r="K50" s="34">
        <v>2023</v>
      </c>
      <c r="L50" s="34"/>
      <c r="M50" s="15" t="s">
        <v>473</v>
      </c>
      <c r="O50" s="15" t="s">
        <v>634</v>
      </c>
      <c r="P50" s="15">
        <v>6</v>
      </c>
      <c r="Q50" s="24">
        <v>25800</v>
      </c>
      <c r="R50" s="98">
        <v>0</v>
      </c>
      <c r="S50" s="104">
        <v>0</v>
      </c>
      <c r="T50" s="32">
        <v>0</v>
      </c>
      <c r="U50" s="77" t="s">
        <v>461</v>
      </c>
      <c r="V50" s="83">
        <v>0.25</v>
      </c>
      <c r="W50" s="83">
        <v>0.25</v>
      </c>
      <c r="X50" s="24">
        <f t="shared" si="1"/>
        <v>6450</v>
      </c>
      <c r="Y50" s="15" t="s">
        <v>477</v>
      </c>
      <c r="Z50" s="15" t="s">
        <v>4</v>
      </c>
    </row>
    <row r="51" spans="2:26" s="15" customFormat="1" x14ac:dyDescent="0.35">
      <c r="C51" s="15" t="s">
        <v>16</v>
      </c>
      <c r="D51" s="15" t="s">
        <v>288</v>
      </c>
      <c r="E51" s="36" t="s">
        <v>186</v>
      </c>
      <c r="F51" s="36"/>
      <c r="H51" s="36" t="s">
        <v>483</v>
      </c>
      <c r="I51" s="35">
        <v>2</v>
      </c>
      <c r="J51" s="15" t="s">
        <v>371</v>
      </c>
      <c r="K51" s="34">
        <v>2023</v>
      </c>
      <c r="L51" s="34"/>
      <c r="M51" s="15" t="s">
        <v>473</v>
      </c>
      <c r="O51" s="15" t="s">
        <v>634</v>
      </c>
      <c r="P51" s="15">
        <v>2</v>
      </c>
      <c r="Q51" s="24">
        <v>8600</v>
      </c>
      <c r="R51" s="98">
        <v>0</v>
      </c>
      <c r="S51" s="24">
        <v>0</v>
      </c>
      <c r="T51" s="32">
        <v>0</v>
      </c>
      <c r="U51" s="77" t="s">
        <v>461</v>
      </c>
      <c r="V51" s="83">
        <v>0.25</v>
      </c>
      <c r="W51" s="83">
        <v>0.25</v>
      </c>
      <c r="X51" s="24">
        <f t="shared" si="1"/>
        <v>2150</v>
      </c>
      <c r="Y51" s="15" t="s">
        <v>477</v>
      </c>
      <c r="Z51" s="15" t="s">
        <v>4</v>
      </c>
    </row>
    <row r="52" spans="2:26" s="15" customFormat="1" x14ac:dyDescent="0.35">
      <c r="C52" s="15" t="s">
        <v>16</v>
      </c>
      <c r="D52" s="15" t="s">
        <v>288</v>
      </c>
      <c r="E52" s="36" t="s">
        <v>186</v>
      </c>
      <c r="F52" s="36"/>
      <c r="H52" s="36" t="s">
        <v>482</v>
      </c>
      <c r="I52" s="35">
        <v>2</v>
      </c>
      <c r="J52" s="15" t="s">
        <v>371</v>
      </c>
      <c r="K52" s="34">
        <v>2023</v>
      </c>
      <c r="L52" s="34"/>
      <c r="M52" s="15" t="s">
        <v>474</v>
      </c>
      <c r="N52" s="15" t="s">
        <v>475</v>
      </c>
      <c r="O52" s="15" t="s">
        <v>634</v>
      </c>
      <c r="P52" s="15">
        <v>5</v>
      </c>
      <c r="Q52" s="89">
        <v>21500</v>
      </c>
      <c r="R52" s="98">
        <v>0</v>
      </c>
      <c r="S52" s="24">
        <v>0</v>
      </c>
      <c r="T52" s="32">
        <v>0</v>
      </c>
      <c r="U52" s="77" t="s">
        <v>461</v>
      </c>
      <c r="V52" s="83">
        <v>0.25</v>
      </c>
      <c r="W52" s="83">
        <v>0.25</v>
      </c>
      <c r="X52" s="24">
        <f t="shared" si="1"/>
        <v>5375</v>
      </c>
      <c r="Y52" s="15" t="s">
        <v>477</v>
      </c>
      <c r="Z52" s="15" t="s">
        <v>4</v>
      </c>
    </row>
    <row r="53" spans="2:26" s="15" customFormat="1" x14ac:dyDescent="0.35">
      <c r="C53" s="15" t="s">
        <v>16</v>
      </c>
      <c r="D53" s="15" t="s">
        <v>288</v>
      </c>
      <c r="E53" s="15" t="s">
        <v>364</v>
      </c>
      <c r="F53" s="15" t="s">
        <v>472</v>
      </c>
      <c r="H53" s="15" t="s">
        <v>479</v>
      </c>
      <c r="I53" s="35">
        <v>2</v>
      </c>
      <c r="J53" s="15" t="s">
        <v>371</v>
      </c>
      <c r="K53" s="34">
        <v>2023</v>
      </c>
      <c r="L53" s="34"/>
      <c r="M53" s="15" t="s">
        <v>473</v>
      </c>
      <c r="O53" s="15" t="s">
        <v>634</v>
      </c>
      <c r="P53" s="15">
        <v>3</v>
      </c>
      <c r="Q53" s="24">
        <v>12900</v>
      </c>
      <c r="R53" s="98">
        <v>0</v>
      </c>
      <c r="S53" s="104">
        <v>0</v>
      </c>
      <c r="T53" s="32">
        <v>0</v>
      </c>
      <c r="U53" s="77" t="s">
        <v>461</v>
      </c>
      <c r="V53" s="83">
        <v>0.25</v>
      </c>
      <c r="W53" s="83">
        <v>0.25</v>
      </c>
      <c r="X53" s="24">
        <f t="shared" si="1"/>
        <v>3225</v>
      </c>
      <c r="Y53" s="15" t="s">
        <v>477</v>
      </c>
      <c r="Z53" s="15" t="s">
        <v>4</v>
      </c>
    </row>
    <row r="54" spans="2:26" s="15" customFormat="1" x14ac:dyDescent="0.35">
      <c r="C54" s="15" t="s">
        <v>16</v>
      </c>
      <c r="D54" s="15" t="s">
        <v>288</v>
      </c>
      <c r="E54" s="15" t="s">
        <v>0</v>
      </c>
      <c r="F54" s="15" t="s">
        <v>82</v>
      </c>
      <c r="H54" s="15" t="s">
        <v>536</v>
      </c>
      <c r="I54" s="35">
        <v>1</v>
      </c>
      <c r="J54" s="36" t="s">
        <v>65</v>
      </c>
      <c r="K54" s="34">
        <v>2016</v>
      </c>
      <c r="L54" s="34"/>
      <c r="M54" s="15" t="s">
        <v>173</v>
      </c>
      <c r="O54" s="15" t="s">
        <v>130</v>
      </c>
      <c r="P54" s="15">
        <v>3</v>
      </c>
      <c r="Q54" s="24">
        <v>9000</v>
      </c>
      <c r="R54" s="98">
        <v>0</v>
      </c>
      <c r="S54" s="24" t="s">
        <v>89</v>
      </c>
      <c r="T54" s="32"/>
      <c r="U54" s="77" t="s">
        <v>460</v>
      </c>
      <c r="V54" s="83"/>
      <c r="W54" s="83"/>
      <c r="X54" s="24">
        <f t="shared" si="1"/>
        <v>0</v>
      </c>
      <c r="Y54" s="24" t="s">
        <v>89</v>
      </c>
      <c r="Z54" s="15" t="s">
        <v>4</v>
      </c>
    </row>
    <row r="55" spans="2:26" s="15" customFormat="1" x14ac:dyDescent="0.35">
      <c r="C55" s="15" t="s">
        <v>16</v>
      </c>
      <c r="D55" s="15" t="s">
        <v>284</v>
      </c>
      <c r="E55" s="15" t="s">
        <v>363</v>
      </c>
      <c r="H55" s="15" t="s">
        <v>429</v>
      </c>
      <c r="I55" s="87">
        <v>1</v>
      </c>
      <c r="J55" s="15" t="s">
        <v>65</v>
      </c>
      <c r="K55" s="34">
        <v>2021</v>
      </c>
      <c r="L55" s="34"/>
      <c r="M55" s="49" t="s">
        <v>497</v>
      </c>
      <c r="N55" s="49" t="s">
        <v>430</v>
      </c>
      <c r="O55" s="15" t="s">
        <v>431</v>
      </c>
      <c r="P55" s="15">
        <v>4</v>
      </c>
      <c r="Q55" s="24">
        <v>14400</v>
      </c>
      <c r="R55" s="98">
        <v>0.25</v>
      </c>
      <c r="S55" s="24">
        <v>1</v>
      </c>
      <c r="T55" s="32">
        <v>3600</v>
      </c>
      <c r="U55" s="77" t="s">
        <v>460</v>
      </c>
      <c r="V55" s="83"/>
      <c r="W55" s="83"/>
      <c r="X55" s="24">
        <f t="shared" si="1"/>
        <v>0</v>
      </c>
      <c r="Z55" s="15" t="s">
        <v>4</v>
      </c>
    </row>
    <row r="56" spans="2:26" s="15" customFormat="1" x14ac:dyDescent="0.35">
      <c r="C56" s="15" t="s">
        <v>7</v>
      </c>
      <c r="D56" s="15" t="s">
        <v>282</v>
      </c>
      <c r="E56" s="15" t="s">
        <v>158</v>
      </c>
      <c r="H56" s="15" t="s">
        <v>540</v>
      </c>
      <c r="I56" s="35">
        <v>1</v>
      </c>
      <c r="J56" s="15" t="s">
        <v>65</v>
      </c>
      <c r="K56" s="34">
        <v>2021</v>
      </c>
      <c r="L56" s="34"/>
      <c r="M56" s="15" t="s">
        <v>316</v>
      </c>
      <c r="O56" s="15" t="s">
        <v>466</v>
      </c>
      <c r="P56" s="15">
        <v>3</v>
      </c>
      <c r="Q56" s="24">
        <v>7050</v>
      </c>
      <c r="R56" s="108" t="s">
        <v>11</v>
      </c>
      <c r="S56" s="99"/>
      <c r="T56" s="32"/>
      <c r="U56" s="78" t="s">
        <v>461</v>
      </c>
      <c r="V56" s="83">
        <v>0.5</v>
      </c>
      <c r="W56" s="83">
        <v>0.5</v>
      </c>
      <c r="X56" s="24">
        <v>3525</v>
      </c>
      <c r="Z56" s="15" t="s">
        <v>4</v>
      </c>
    </row>
    <row r="57" spans="2:26" s="15" customFormat="1" x14ac:dyDescent="0.35">
      <c r="C57" s="15" t="s">
        <v>7</v>
      </c>
      <c r="D57" s="15" t="s">
        <v>282</v>
      </c>
      <c r="E57" s="36" t="s">
        <v>169</v>
      </c>
      <c r="F57" s="36"/>
      <c r="H57" s="36" t="s">
        <v>491</v>
      </c>
      <c r="I57" s="35">
        <v>1</v>
      </c>
      <c r="J57" s="36" t="s">
        <v>65</v>
      </c>
      <c r="K57" s="105">
        <v>1988</v>
      </c>
      <c r="L57" s="105"/>
      <c r="M57" s="15" t="s">
        <v>247</v>
      </c>
      <c r="N57" s="21"/>
      <c r="O57" s="21"/>
      <c r="P57" s="109">
        <v>4</v>
      </c>
      <c r="Q57" s="24">
        <v>310</v>
      </c>
      <c r="R57" s="123">
        <v>1</v>
      </c>
      <c r="S57" s="24">
        <v>4</v>
      </c>
      <c r="T57" s="32">
        <v>310</v>
      </c>
      <c r="U57" s="78" t="s">
        <v>460</v>
      </c>
      <c r="V57" s="83"/>
      <c r="W57" s="83"/>
      <c r="X57" s="32">
        <f t="shared" ref="X57:X77" si="2">W57*Q57</f>
        <v>0</v>
      </c>
      <c r="Y57" s="31"/>
      <c r="Z57" s="15" t="s">
        <v>4</v>
      </c>
    </row>
    <row r="58" spans="2:26" s="15" customFormat="1" x14ac:dyDescent="0.35">
      <c r="C58" s="15" t="s">
        <v>7</v>
      </c>
      <c r="D58" s="15" t="s">
        <v>283</v>
      </c>
      <c r="E58" s="15" t="s">
        <v>50</v>
      </c>
      <c r="H58" s="15" t="s">
        <v>224</v>
      </c>
      <c r="I58" s="35">
        <v>1</v>
      </c>
      <c r="J58" s="15" t="s">
        <v>65</v>
      </c>
      <c r="K58" s="34">
        <v>1993</v>
      </c>
      <c r="L58" s="34"/>
      <c r="M58" s="15" t="s">
        <v>51</v>
      </c>
      <c r="P58" s="109">
        <v>1</v>
      </c>
      <c r="Q58" s="24">
        <v>250</v>
      </c>
      <c r="R58" s="98">
        <v>1</v>
      </c>
      <c r="S58" s="24">
        <v>1</v>
      </c>
      <c r="T58" s="32">
        <v>250</v>
      </c>
      <c r="U58" s="106" t="s">
        <v>460</v>
      </c>
      <c r="V58" s="107"/>
      <c r="W58" s="107"/>
      <c r="X58" s="89">
        <f t="shared" si="2"/>
        <v>0</v>
      </c>
      <c r="Z58" s="15" t="s">
        <v>4</v>
      </c>
    </row>
    <row r="59" spans="2:26" s="15" customFormat="1" x14ac:dyDescent="0.35">
      <c r="C59" s="15" t="s">
        <v>7</v>
      </c>
      <c r="D59" s="15" t="s">
        <v>282</v>
      </c>
      <c r="E59" s="15" t="s">
        <v>13</v>
      </c>
      <c r="H59" s="15" t="s">
        <v>258</v>
      </c>
      <c r="I59" s="35">
        <v>1</v>
      </c>
      <c r="J59" s="15" t="s">
        <v>65</v>
      </c>
      <c r="K59" s="34">
        <v>2002</v>
      </c>
      <c r="L59" s="34"/>
      <c r="M59" s="15" t="s">
        <v>178</v>
      </c>
      <c r="P59" s="109">
        <v>1</v>
      </c>
      <c r="Q59" s="24">
        <v>225</v>
      </c>
      <c r="R59" s="123">
        <v>1</v>
      </c>
      <c r="S59" s="24">
        <v>1</v>
      </c>
      <c r="T59" s="32">
        <v>225</v>
      </c>
      <c r="U59" s="78" t="s">
        <v>460</v>
      </c>
      <c r="V59" s="83"/>
      <c r="W59" s="83"/>
      <c r="X59" s="32">
        <f t="shared" si="2"/>
        <v>0</v>
      </c>
      <c r="Y59" s="33"/>
      <c r="Z59" s="15" t="s">
        <v>4</v>
      </c>
    </row>
    <row r="60" spans="2:26" s="15" customFormat="1" x14ac:dyDescent="0.35">
      <c r="C60" s="15" t="s">
        <v>7</v>
      </c>
      <c r="D60" s="15" t="s">
        <v>283</v>
      </c>
      <c r="E60" s="15" t="s">
        <v>50</v>
      </c>
      <c r="H60" s="15" t="s">
        <v>539</v>
      </c>
      <c r="I60" s="35">
        <v>1</v>
      </c>
      <c r="J60" s="15" t="s">
        <v>65</v>
      </c>
      <c r="K60" s="34">
        <v>2013</v>
      </c>
      <c r="L60" s="112"/>
      <c r="M60" s="15" t="s">
        <v>51</v>
      </c>
      <c r="P60" s="109">
        <v>1</v>
      </c>
      <c r="Q60" s="24">
        <v>2300</v>
      </c>
      <c r="R60" s="98">
        <v>1</v>
      </c>
      <c r="S60" s="24">
        <v>1</v>
      </c>
      <c r="T60" s="32">
        <v>2300</v>
      </c>
      <c r="U60" s="106" t="s">
        <v>460</v>
      </c>
      <c r="V60" s="107"/>
      <c r="W60" s="107"/>
      <c r="X60" s="89">
        <f t="shared" si="2"/>
        <v>0</v>
      </c>
      <c r="Z60" s="15" t="s">
        <v>4</v>
      </c>
    </row>
    <row r="61" spans="2:26" s="15" customFormat="1" x14ac:dyDescent="0.35">
      <c r="C61" s="15" t="s">
        <v>7</v>
      </c>
      <c r="D61" s="15" t="s">
        <v>283</v>
      </c>
      <c r="E61" s="15" t="s">
        <v>50</v>
      </c>
      <c r="H61" s="15" t="s">
        <v>538</v>
      </c>
      <c r="I61" s="35">
        <v>1</v>
      </c>
      <c r="J61" s="15" t="s">
        <v>65</v>
      </c>
      <c r="K61" s="34">
        <v>2013</v>
      </c>
      <c r="L61" s="112"/>
      <c r="M61" s="15" t="s">
        <v>51</v>
      </c>
      <c r="P61" s="109">
        <v>1</v>
      </c>
      <c r="Q61" s="24">
        <v>2300</v>
      </c>
      <c r="R61" s="98">
        <v>1</v>
      </c>
      <c r="S61" s="24">
        <v>1</v>
      </c>
      <c r="T61" s="32">
        <v>2300</v>
      </c>
      <c r="U61" s="106" t="s">
        <v>460</v>
      </c>
      <c r="V61" s="107"/>
      <c r="W61" s="107"/>
      <c r="X61" s="89">
        <f t="shared" si="2"/>
        <v>0</v>
      </c>
      <c r="Z61" s="15" t="s">
        <v>4</v>
      </c>
    </row>
    <row r="62" spans="2:26" s="15" customFormat="1" x14ac:dyDescent="0.35">
      <c r="B62" s="21"/>
      <c r="C62" s="15" t="s">
        <v>7</v>
      </c>
      <c r="D62" s="15" t="s">
        <v>282</v>
      </c>
      <c r="E62" s="15" t="s">
        <v>197</v>
      </c>
      <c r="F62" s="15" t="s">
        <v>92</v>
      </c>
      <c r="G62" s="21"/>
      <c r="H62" s="15" t="s">
        <v>349</v>
      </c>
      <c r="I62" s="35">
        <v>1</v>
      </c>
      <c r="J62" s="36" t="s">
        <v>65</v>
      </c>
      <c r="K62" s="34">
        <v>2013</v>
      </c>
      <c r="L62" s="34"/>
      <c r="M62" s="15" t="s">
        <v>264</v>
      </c>
      <c r="N62" s="15" t="s">
        <v>211</v>
      </c>
      <c r="P62" s="109">
        <v>1</v>
      </c>
      <c r="Q62" s="24">
        <v>850</v>
      </c>
      <c r="R62" s="123">
        <v>1</v>
      </c>
      <c r="S62" s="24">
        <v>1</v>
      </c>
      <c r="T62" s="32">
        <v>850</v>
      </c>
      <c r="U62" s="114" t="s">
        <v>460</v>
      </c>
      <c r="V62" s="107"/>
      <c r="W62" s="107"/>
      <c r="X62" s="95">
        <f t="shared" si="2"/>
        <v>0</v>
      </c>
      <c r="Z62" s="15" t="s">
        <v>4</v>
      </c>
    </row>
    <row r="63" spans="2:26" s="15" customFormat="1" x14ac:dyDescent="0.35">
      <c r="B63" s="21"/>
      <c r="C63" s="15" t="s">
        <v>7</v>
      </c>
      <c r="D63" s="15" t="s">
        <v>282</v>
      </c>
      <c r="E63" s="15" t="s">
        <v>197</v>
      </c>
      <c r="F63" s="15" t="s">
        <v>92</v>
      </c>
      <c r="G63" s="21"/>
      <c r="H63" s="15" t="s">
        <v>344</v>
      </c>
      <c r="I63" s="35">
        <v>1</v>
      </c>
      <c r="J63" s="36" t="s">
        <v>65</v>
      </c>
      <c r="K63" s="34">
        <v>2013</v>
      </c>
      <c r="L63" s="34"/>
      <c r="M63" s="15" t="s">
        <v>264</v>
      </c>
      <c r="N63" s="15" t="s">
        <v>211</v>
      </c>
      <c r="P63" s="109">
        <v>1</v>
      </c>
      <c r="Q63" s="24">
        <v>850</v>
      </c>
      <c r="R63" s="123">
        <v>1</v>
      </c>
      <c r="S63" s="24">
        <v>1</v>
      </c>
      <c r="T63" s="32">
        <v>850</v>
      </c>
      <c r="U63" s="114" t="s">
        <v>460</v>
      </c>
      <c r="V63" s="107"/>
      <c r="W63" s="107"/>
      <c r="X63" s="95">
        <f t="shared" si="2"/>
        <v>0</v>
      </c>
      <c r="Z63" s="15" t="s">
        <v>4</v>
      </c>
    </row>
    <row r="64" spans="2:26" s="15" customFormat="1" x14ac:dyDescent="0.35">
      <c r="B64" s="21"/>
      <c r="C64" s="15" t="s">
        <v>7</v>
      </c>
      <c r="D64" s="15" t="s">
        <v>282</v>
      </c>
      <c r="E64" s="15" t="s">
        <v>197</v>
      </c>
      <c r="F64" s="15" t="s">
        <v>92</v>
      </c>
      <c r="G64" s="21"/>
      <c r="H64" s="15" t="s">
        <v>345</v>
      </c>
      <c r="I64" s="35">
        <v>1</v>
      </c>
      <c r="J64" s="15" t="s">
        <v>65</v>
      </c>
      <c r="K64" s="34">
        <v>2013</v>
      </c>
      <c r="L64" s="34"/>
      <c r="M64" s="15" t="s">
        <v>264</v>
      </c>
      <c r="N64" s="15" t="s">
        <v>211</v>
      </c>
      <c r="P64" s="109">
        <v>1</v>
      </c>
      <c r="Q64" s="24">
        <v>850</v>
      </c>
      <c r="R64" s="123">
        <v>1</v>
      </c>
      <c r="S64" s="24">
        <v>1</v>
      </c>
      <c r="T64" s="32">
        <v>850</v>
      </c>
      <c r="U64" s="114" t="s">
        <v>460</v>
      </c>
      <c r="V64" s="107"/>
      <c r="W64" s="107"/>
      <c r="X64" s="95">
        <f t="shared" si="2"/>
        <v>0</v>
      </c>
      <c r="Z64" s="15" t="s">
        <v>4</v>
      </c>
    </row>
    <row r="65" spans="2:26" s="15" customFormat="1" x14ac:dyDescent="0.35">
      <c r="B65" s="21"/>
      <c r="C65" s="15" t="s">
        <v>7</v>
      </c>
      <c r="D65" s="15" t="s">
        <v>282</v>
      </c>
      <c r="E65" s="36" t="s">
        <v>197</v>
      </c>
      <c r="F65" s="36" t="s">
        <v>92</v>
      </c>
      <c r="G65" s="21"/>
      <c r="H65" s="36" t="s">
        <v>343</v>
      </c>
      <c r="I65" s="35">
        <v>1</v>
      </c>
      <c r="J65" s="60" t="s">
        <v>65</v>
      </c>
      <c r="K65" s="34">
        <v>2014</v>
      </c>
      <c r="L65" s="34"/>
      <c r="M65" s="15" t="s">
        <v>264</v>
      </c>
      <c r="N65" s="15" t="s">
        <v>211</v>
      </c>
      <c r="P65" s="109">
        <v>1</v>
      </c>
      <c r="Q65" s="24">
        <v>850</v>
      </c>
      <c r="R65" s="123">
        <v>1</v>
      </c>
      <c r="S65" s="24">
        <v>1</v>
      </c>
      <c r="T65" s="32">
        <v>850</v>
      </c>
      <c r="U65" s="114" t="s">
        <v>460</v>
      </c>
      <c r="V65" s="107"/>
      <c r="W65" s="107"/>
      <c r="X65" s="95">
        <f t="shared" si="2"/>
        <v>0</v>
      </c>
      <c r="Z65" s="15" t="s">
        <v>4</v>
      </c>
    </row>
    <row r="66" spans="2:26" s="15" customFormat="1" x14ac:dyDescent="0.35">
      <c r="C66" s="15" t="s">
        <v>7</v>
      </c>
      <c r="D66" s="15" t="s">
        <v>282</v>
      </c>
      <c r="E66" s="36" t="s">
        <v>67</v>
      </c>
      <c r="F66" s="36"/>
      <c r="H66" s="36" t="s">
        <v>397</v>
      </c>
      <c r="I66" s="35">
        <v>1</v>
      </c>
      <c r="J66" s="15" t="s">
        <v>65</v>
      </c>
      <c r="K66" s="34">
        <v>2017</v>
      </c>
      <c r="L66" s="34"/>
      <c r="M66" s="15" t="s">
        <v>215</v>
      </c>
      <c r="O66" s="15" t="s">
        <v>203</v>
      </c>
      <c r="P66" s="15">
        <v>1</v>
      </c>
      <c r="Q66" s="24">
        <v>2300</v>
      </c>
      <c r="R66" s="98">
        <v>0.37</v>
      </c>
      <c r="S66" s="104">
        <v>0.37</v>
      </c>
      <c r="T66" s="95">
        <v>851</v>
      </c>
      <c r="U66" s="77" t="s">
        <v>460</v>
      </c>
      <c r="V66" s="83"/>
      <c r="W66" s="83"/>
      <c r="X66" s="24">
        <f t="shared" si="2"/>
        <v>0</v>
      </c>
      <c r="Z66" s="15" t="s">
        <v>4</v>
      </c>
    </row>
    <row r="67" spans="2:26" s="15" customFormat="1" x14ac:dyDescent="0.35">
      <c r="C67" s="15" t="s">
        <v>7</v>
      </c>
      <c r="D67" s="15" t="s">
        <v>282</v>
      </c>
      <c r="E67" s="15" t="s">
        <v>197</v>
      </c>
      <c r="F67" s="15" t="s">
        <v>196</v>
      </c>
      <c r="H67" s="15" t="s">
        <v>451</v>
      </c>
      <c r="I67" s="35">
        <v>1</v>
      </c>
      <c r="J67" s="36" t="s">
        <v>65</v>
      </c>
      <c r="K67" s="34">
        <v>2019</v>
      </c>
      <c r="L67" s="34"/>
      <c r="M67" s="15" t="s">
        <v>57</v>
      </c>
      <c r="P67" s="15">
        <v>1</v>
      </c>
      <c r="Q67" s="24">
        <v>-75</v>
      </c>
      <c r="R67" s="98">
        <v>1</v>
      </c>
      <c r="S67" s="24">
        <v>1</v>
      </c>
      <c r="T67" s="32">
        <v>-75</v>
      </c>
      <c r="U67" s="78" t="s">
        <v>460</v>
      </c>
      <c r="V67" s="83"/>
      <c r="W67" s="83"/>
      <c r="X67" s="32">
        <f t="shared" si="2"/>
        <v>0</v>
      </c>
      <c r="Z67" s="15" t="s">
        <v>4</v>
      </c>
    </row>
    <row r="68" spans="2:26" s="15" customFormat="1" x14ac:dyDescent="0.35">
      <c r="C68" s="15" t="s">
        <v>7</v>
      </c>
      <c r="D68" s="15" t="s">
        <v>282</v>
      </c>
      <c r="E68" s="15" t="s">
        <v>33</v>
      </c>
      <c r="H68" s="15" t="s">
        <v>447</v>
      </c>
      <c r="I68" s="35">
        <v>1</v>
      </c>
      <c r="J68" s="15" t="s">
        <v>65</v>
      </c>
      <c r="K68" s="34" t="s">
        <v>628</v>
      </c>
      <c r="L68" s="34"/>
      <c r="M68" s="15" t="s">
        <v>62</v>
      </c>
      <c r="P68" s="109">
        <v>2</v>
      </c>
      <c r="Q68" s="24">
        <v>4600</v>
      </c>
      <c r="R68" s="123">
        <v>1</v>
      </c>
      <c r="S68" s="24">
        <v>2</v>
      </c>
      <c r="T68" s="32">
        <v>4600</v>
      </c>
      <c r="U68" s="78" t="s">
        <v>460</v>
      </c>
      <c r="V68" s="83"/>
      <c r="W68" s="83"/>
      <c r="X68" s="32">
        <f t="shared" si="2"/>
        <v>0</v>
      </c>
      <c r="Z68" s="15" t="s">
        <v>4</v>
      </c>
    </row>
    <row r="69" spans="2:26" s="15" customFormat="1" x14ac:dyDescent="0.35">
      <c r="C69" s="15" t="s">
        <v>7</v>
      </c>
      <c r="D69" s="15" t="s">
        <v>282</v>
      </c>
      <c r="E69" s="36" t="s">
        <v>197</v>
      </c>
      <c r="F69" s="36" t="s">
        <v>102</v>
      </c>
      <c r="H69" s="36" t="s">
        <v>58</v>
      </c>
      <c r="I69" s="35">
        <v>1</v>
      </c>
      <c r="J69" s="15" t="s">
        <v>65</v>
      </c>
      <c r="K69" s="34" t="s">
        <v>628</v>
      </c>
      <c r="L69" s="34"/>
      <c r="M69" s="15" t="s">
        <v>57</v>
      </c>
      <c r="O69" s="15" t="s">
        <v>12</v>
      </c>
      <c r="P69" s="15">
        <v>5</v>
      </c>
      <c r="Q69" s="24">
        <v>4250</v>
      </c>
      <c r="R69" s="98">
        <v>0.5</v>
      </c>
      <c r="S69" s="99">
        <v>2.5</v>
      </c>
      <c r="T69" s="32">
        <v>2125</v>
      </c>
      <c r="U69" s="78" t="s">
        <v>460</v>
      </c>
      <c r="V69" s="83"/>
      <c r="W69" s="83"/>
      <c r="X69" s="32">
        <f t="shared" si="2"/>
        <v>0</v>
      </c>
      <c r="Y69" s="15" t="s">
        <v>60</v>
      </c>
      <c r="Z69" s="15" t="s">
        <v>4</v>
      </c>
    </row>
    <row r="70" spans="2:26" s="15" customFormat="1" x14ac:dyDescent="0.35">
      <c r="C70" s="15" t="s">
        <v>7</v>
      </c>
      <c r="D70" s="15" t="s">
        <v>282</v>
      </c>
      <c r="E70" s="15" t="s">
        <v>197</v>
      </c>
      <c r="F70" s="15" t="s">
        <v>196</v>
      </c>
      <c r="H70" s="15" t="s">
        <v>59</v>
      </c>
      <c r="I70" s="35">
        <v>1</v>
      </c>
      <c r="J70" s="15" t="s">
        <v>65</v>
      </c>
      <c r="K70" s="34" t="s">
        <v>628</v>
      </c>
      <c r="L70" s="34"/>
      <c r="M70" s="15" t="s">
        <v>57</v>
      </c>
      <c r="P70" s="15">
        <v>7</v>
      </c>
      <c r="Q70" s="24">
        <v>555</v>
      </c>
      <c r="R70" s="98">
        <v>1</v>
      </c>
      <c r="S70" s="24">
        <v>7</v>
      </c>
      <c r="T70" s="32">
        <v>555</v>
      </c>
      <c r="U70" s="78" t="s">
        <v>460</v>
      </c>
      <c r="V70" s="83"/>
      <c r="W70" s="83"/>
      <c r="X70" s="32">
        <f t="shared" si="2"/>
        <v>0</v>
      </c>
      <c r="Z70" s="15" t="s">
        <v>4</v>
      </c>
    </row>
    <row r="71" spans="2:26" s="15" customFormat="1" x14ac:dyDescent="0.35">
      <c r="C71" s="15" t="s">
        <v>7</v>
      </c>
      <c r="D71" s="15" t="s">
        <v>283</v>
      </c>
      <c r="E71" s="36" t="s">
        <v>365</v>
      </c>
      <c r="F71" s="36" t="s">
        <v>100</v>
      </c>
      <c r="H71" s="36" t="s">
        <v>537</v>
      </c>
      <c r="I71" s="35">
        <v>1</v>
      </c>
      <c r="J71" s="15" t="s">
        <v>65</v>
      </c>
      <c r="K71" s="34" t="s">
        <v>628</v>
      </c>
      <c r="L71" s="34"/>
      <c r="M71" s="15" t="s">
        <v>61</v>
      </c>
      <c r="P71" s="109">
        <v>1</v>
      </c>
      <c r="Q71" s="24">
        <v>2000</v>
      </c>
      <c r="R71" s="123">
        <v>1</v>
      </c>
      <c r="S71" s="24">
        <v>1</v>
      </c>
      <c r="T71" s="32">
        <v>2000</v>
      </c>
      <c r="U71" s="78" t="s">
        <v>460</v>
      </c>
      <c r="V71" s="83"/>
      <c r="W71" s="83"/>
      <c r="X71" s="32">
        <f t="shared" si="2"/>
        <v>0</v>
      </c>
      <c r="Z71" s="15" t="s">
        <v>4</v>
      </c>
    </row>
    <row r="72" spans="2:26" s="15" customFormat="1" x14ac:dyDescent="0.35">
      <c r="C72" s="15" t="s">
        <v>7</v>
      </c>
      <c r="D72" s="15" t="s">
        <v>283</v>
      </c>
      <c r="E72" s="15" t="s">
        <v>200</v>
      </c>
      <c r="F72" s="15" t="s">
        <v>201</v>
      </c>
      <c r="H72" s="15" t="s">
        <v>630</v>
      </c>
      <c r="I72" s="35">
        <v>1</v>
      </c>
      <c r="J72" s="15" t="s">
        <v>65</v>
      </c>
      <c r="K72" s="34" t="s">
        <v>628</v>
      </c>
      <c r="L72" s="34"/>
      <c r="M72" s="15" t="s">
        <v>629</v>
      </c>
      <c r="P72" s="109">
        <v>1</v>
      </c>
      <c r="Q72" s="24">
        <v>80</v>
      </c>
      <c r="R72" s="123">
        <v>1</v>
      </c>
      <c r="S72" s="24">
        <v>1</v>
      </c>
      <c r="T72" s="32">
        <v>80</v>
      </c>
      <c r="U72" s="78" t="s">
        <v>460</v>
      </c>
      <c r="V72" s="83"/>
      <c r="W72" s="83"/>
      <c r="X72" s="32">
        <f t="shared" si="2"/>
        <v>0</v>
      </c>
      <c r="Z72" s="15" t="s">
        <v>4</v>
      </c>
    </row>
    <row r="73" spans="2:26" s="15" customFormat="1" x14ac:dyDescent="0.35">
      <c r="C73" s="15" t="s">
        <v>7</v>
      </c>
      <c r="D73" s="15" t="s">
        <v>282</v>
      </c>
      <c r="E73" s="15" t="s">
        <v>13</v>
      </c>
      <c r="H73" s="15" t="s">
        <v>257</v>
      </c>
      <c r="I73" s="35">
        <v>1</v>
      </c>
      <c r="J73" s="15" t="s">
        <v>65</v>
      </c>
      <c r="K73" s="34">
        <v>2006</v>
      </c>
      <c r="L73" s="34"/>
      <c r="M73" s="15" t="s">
        <v>178</v>
      </c>
      <c r="O73" s="15" t="s">
        <v>88</v>
      </c>
      <c r="P73" s="15">
        <v>7</v>
      </c>
      <c r="Q73" s="24">
        <v>6300</v>
      </c>
      <c r="R73" s="98">
        <v>0.11</v>
      </c>
      <c r="S73" s="104">
        <v>0.77</v>
      </c>
      <c r="T73" s="32">
        <v>693</v>
      </c>
      <c r="U73" s="78" t="s">
        <v>11</v>
      </c>
      <c r="V73" s="83"/>
      <c r="W73" s="83"/>
      <c r="X73" s="32">
        <f t="shared" si="2"/>
        <v>0</v>
      </c>
      <c r="Y73" s="15" t="s">
        <v>103</v>
      </c>
      <c r="Z73" s="15" t="s">
        <v>4</v>
      </c>
    </row>
    <row r="74" spans="2:26" s="15" customFormat="1" x14ac:dyDescent="0.35">
      <c r="C74" s="49" t="s">
        <v>7</v>
      </c>
      <c r="D74" s="15" t="s">
        <v>282</v>
      </c>
      <c r="E74" s="15" t="s">
        <v>169</v>
      </c>
      <c r="F74" s="15" t="s">
        <v>143</v>
      </c>
      <c r="H74" s="15" t="s">
        <v>492</v>
      </c>
      <c r="I74" s="65">
        <v>1</v>
      </c>
      <c r="J74" s="15" t="s">
        <v>65</v>
      </c>
      <c r="K74" s="34">
        <v>2006</v>
      </c>
      <c r="L74" s="105"/>
      <c r="M74" s="15" t="s">
        <v>247</v>
      </c>
      <c r="O74" s="21"/>
      <c r="P74" s="24">
        <v>3</v>
      </c>
      <c r="Q74" s="24">
        <v>850</v>
      </c>
      <c r="R74" s="123">
        <v>0.1</v>
      </c>
      <c r="S74" s="99">
        <v>0.30000000000000004</v>
      </c>
      <c r="T74" s="32">
        <v>85</v>
      </c>
      <c r="U74" s="78" t="s">
        <v>11</v>
      </c>
      <c r="V74" s="83"/>
      <c r="W74" s="83"/>
      <c r="X74" s="32">
        <f t="shared" si="2"/>
        <v>0</v>
      </c>
      <c r="Y74" s="31"/>
      <c r="Z74" s="15" t="s">
        <v>4</v>
      </c>
    </row>
    <row r="75" spans="2:26" s="15" customFormat="1" x14ac:dyDescent="0.35">
      <c r="C75" s="49" t="s">
        <v>7</v>
      </c>
      <c r="D75" s="15" t="s">
        <v>282</v>
      </c>
      <c r="E75" s="15" t="s">
        <v>169</v>
      </c>
      <c r="F75" s="15" t="s">
        <v>315</v>
      </c>
      <c r="H75" s="15" t="s">
        <v>267</v>
      </c>
      <c r="I75" s="65">
        <v>1</v>
      </c>
      <c r="J75" s="15" t="s">
        <v>65</v>
      </c>
      <c r="K75" s="34">
        <v>2019</v>
      </c>
      <c r="L75" s="105"/>
      <c r="M75" s="15" t="s">
        <v>247</v>
      </c>
      <c r="N75" s="15" t="s">
        <v>268</v>
      </c>
      <c r="O75" s="21"/>
      <c r="P75" s="24">
        <v>5</v>
      </c>
      <c r="Q75" s="24">
        <v>11750</v>
      </c>
      <c r="R75" s="123">
        <v>0.12</v>
      </c>
      <c r="S75" s="99">
        <v>0.6</v>
      </c>
      <c r="T75" s="32">
        <v>1410</v>
      </c>
      <c r="U75" s="78" t="s">
        <v>11</v>
      </c>
      <c r="V75" s="83"/>
      <c r="W75" s="83"/>
      <c r="X75" s="32">
        <f t="shared" si="2"/>
        <v>0</v>
      </c>
      <c r="Y75" s="31"/>
      <c r="Z75" s="15" t="s">
        <v>4</v>
      </c>
    </row>
    <row r="76" spans="2:26" s="15" customFormat="1" x14ac:dyDescent="0.35">
      <c r="C76" s="15" t="s">
        <v>7</v>
      </c>
      <c r="D76" s="15" t="s">
        <v>282</v>
      </c>
      <c r="E76" s="15" t="s">
        <v>13</v>
      </c>
      <c r="H76" s="15" t="s">
        <v>222</v>
      </c>
      <c r="I76" s="35">
        <v>1</v>
      </c>
      <c r="J76" s="15" t="s">
        <v>65</v>
      </c>
      <c r="K76" s="34" t="s">
        <v>628</v>
      </c>
      <c r="L76" s="34"/>
      <c r="M76" s="15" t="s">
        <v>178</v>
      </c>
      <c r="P76" s="15">
        <v>1</v>
      </c>
      <c r="Q76" s="24">
        <v>660</v>
      </c>
      <c r="R76" s="98">
        <v>0.2</v>
      </c>
      <c r="S76" s="104">
        <v>0.2</v>
      </c>
      <c r="T76" s="32">
        <v>132</v>
      </c>
      <c r="U76" s="78" t="s">
        <v>11</v>
      </c>
      <c r="V76" s="83"/>
      <c r="W76" s="83"/>
      <c r="X76" s="32">
        <f t="shared" si="2"/>
        <v>0</v>
      </c>
      <c r="Y76" s="15" t="s">
        <v>104</v>
      </c>
      <c r="Z76" s="15" t="s">
        <v>4</v>
      </c>
    </row>
    <row r="77" spans="2:26" s="15" customFormat="1" x14ac:dyDescent="0.35">
      <c r="C77" s="15" t="s">
        <v>7</v>
      </c>
      <c r="D77" s="15" t="s">
        <v>282</v>
      </c>
      <c r="E77" s="36" t="s">
        <v>169</v>
      </c>
      <c r="F77" s="36"/>
      <c r="H77" s="36" t="s">
        <v>297</v>
      </c>
      <c r="I77" s="35">
        <v>1</v>
      </c>
      <c r="J77" s="15" t="s">
        <v>455</v>
      </c>
      <c r="K77" s="34">
        <v>2019</v>
      </c>
      <c r="L77" s="34"/>
      <c r="M77" s="15" t="s">
        <v>247</v>
      </c>
      <c r="N77" s="21"/>
      <c r="O77" s="21"/>
      <c r="P77" s="109">
        <v>-2</v>
      </c>
      <c r="Q77" s="24">
        <v>-160</v>
      </c>
      <c r="R77" s="123">
        <v>1</v>
      </c>
      <c r="S77" s="24">
        <v>-2</v>
      </c>
      <c r="T77" s="32">
        <v>-160</v>
      </c>
      <c r="U77" s="77" t="s">
        <v>460</v>
      </c>
      <c r="V77" s="83"/>
      <c r="W77" s="83"/>
      <c r="X77" s="32">
        <f t="shared" si="2"/>
        <v>0</v>
      </c>
      <c r="Y77" s="31"/>
      <c r="Z77" s="15" t="s">
        <v>4</v>
      </c>
    </row>
    <row r="78" spans="2:26" s="15" customFormat="1" x14ac:dyDescent="0.35">
      <c r="C78" s="15" t="s">
        <v>14</v>
      </c>
      <c r="D78" s="15" t="s">
        <v>289</v>
      </c>
      <c r="E78" s="15" t="s">
        <v>78</v>
      </c>
      <c r="F78" s="15" t="s">
        <v>252</v>
      </c>
      <c r="H78" s="15" t="s">
        <v>541</v>
      </c>
      <c r="I78" s="35">
        <v>1</v>
      </c>
      <c r="J78" s="15" t="s">
        <v>65</v>
      </c>
      <c r="K78" s="34">
        <v>2021</v>
      </c>
      <c r="L78" s="102"/>
      <c r="M78" s="15" t="s">
        <v>251</v>
      </c>
      <c r="N78" s="15" t="s">
        <v>253</v>
      </c>
      <c r="O78" s="15" t="s">
        <v>632</v>
      </c>
      <c r="P78" s="15">
        <v>2</v>
      </c>
      <c r="Q78" s="24">
        <v>8400</v>
      </c>
      <c r="R78" s="123">
        <v>1</v>
      </c>
      <c r="S78" s="24">
        <v>2</v>
      </c>
      <c r="T78" s="32">
        <v>8400</v>
      </c>
      <c r="U78" s="78" t="s">
        <v>461</v>
      </c>
      <c r="V78" s="83">
        <v>0</v>
      </c>
      <c r="W78" s="83">
        <v>1</v>
      </c>
      <c r="X78" s="24">
        <v>0</v>
      </c>
      <c r="Y78" s="15" t="s">
        <v>633</v>
      </c>
      <c r="Z78" s="15" t="s">
        <v>4</v>
      </c>
    </row>
    <row r="79" spans="2:26" s="15" customFormat="1" x14ac:dyDescent="0.35">
      <c r="C79" s="15" t="s">
        <v>14</v>
      </c>
      <c r="D79" s="15" t="s">
        <v>289</v>
      </c>
      <c r="E79" s="36" t="s">
        <v>68</v>
      </c>
      <c r="F79" s="36"/>
      <c r="H79" s="36" t="s">
        <v>542</v>
      </c>
      <c r="I79" s="35">
        <v>1</v>
      </c>
      <c r="J79" s="36" t="s">
        <v>65</v>
      </c>
      <c r="K79" s="34">
        <v>2015</v>
      </c>
      <c r="L79" s="34"/>
      <c r="M79" s="15" t="s">
        <v>142</v>
      </c>
      <c r="O79" s="15" t="s">
        <v>468</v>
      </c>
      <c r="P79" s="15">
        <v>2</v>
      </c>
      <c r="Q79" s="24">
        <v>4700</v>
      </c>
      <c r="R79" s="98">
        <v>0.25</v>
      </c>
      <c r="S79" s="104">
        <v>0.5</v>
      </c>
      <c r="T79" s="32">
        <v>1175</v>
      </c>
      <c r="U79" s="78" t="s">
        <v>460</v>
      </c>
      <c r="V79" s="83"/>
      <c r="W79" s="83"/>
      <c r="X79" s="24">
        <f>W79*Q79</f>
        <v>0</v>
      </c>
      <c r="Z79" s="15" t="s">
        <v>4</v>
      </c>
    </row>
    <row r="80" spans="2:26" s="15" customFormat="1" x14ac:dyDescent="0.35">
      <c r="B80" s="21"/>
      <c r="C80" s="15" t="s">
        <v>14</v>
      </c>
      <c r="D80" s="15" t="s">
        <v>289</v>
      </c>
      <c r="E80" s="15" t="s">
        <v>238</v>
      </c>
      <c r="F80" s="15" t="s">
        <v>239</v>
      </c>
      <c r="G80" s="21"/>
      <c r="H80" s="15" t="s">
        <v>347</v>
      </c>
      <c r="I80" s="35">
        <v>1</v>
      </c>
      <c r="J80" s="15" t="s">
        <v>65</v>
      </c>
      <c r="K80" s="34">
        <v>2019</v>
      </c>
      <c r="L80" s="34"/>
      <c r="M80" s="15" t="s">
        <v>264</v>
      </c>
      <c r="N80" s="15" t="s">
        <v>211</v>
      </c>
      <c r="P80" s="109">
        <v>3</v>
      </c>
      <c r="Q80" s="24">
        <v>6900</v>
      </c>
      <c r="R80" s="123">
        <v>0.33333333333333331</v>
      </c>
      <c r="S80" s="24">
        <v>1</v>
      </c>
      <c r="T80" s="32">
        <v>2300</v>
      </c>
      <c r="U80" s="78" t="s">
        <v>460</v>
      </c>
      <c r="V80" s="83"/>
      <c r="W80" s="83"/>
      <c r="X80" s="24">
        <f>W80*Q80</f>
        <v>0</v>
      </c>
      <c r="Z80" s="15" t="s">
        <v>4</v>
      </c>
    </row>
    <row r="81" spans="3:26" s="15" customFormat="1" x14ac:dyDescent="0.35">
      <c r="C81" s="15" t="s">
        <v>20</v>
      </c>
      <c r="D81" s="36" t="s">
        <v>456</v>
      </c>
      <c r="E81" s="15" t="s">
        <v>20</v>
      </c>
      <c r="H81" s="15" t="s">
        <v>543</v>
      </c>
      <c r="I81" s="65">
        <v>1</v>
      </c>
      <c r="J81" s="36" t="s">
        <v>65</v>
      </c>
      <c r="K81" s="105">
        <v>2014</v>
      </c>
      <c r="L81" s="105"/>
      <c r="M81" s="15" t="s">
        <v>210</v>
      </c>
      <c r="O81" s="15" t="s">
        <v>12</v>
      </c>
      <c r="P81" s="15">
        <v>3</v>
      </c>
      <c r="Q81" s="24">
        <v>6000</v>
      </c>
      <c r="R81" s="98">
        <v>0</v>
      </c>
      <c r="S81" s="24" t="s">
        <v>89</v>
      </c>
      <c r="T81" s="32"/>
      <c r="U81" s="78" t="s">
        <v>460</v>
      </c>
      <c r="V81" s="83"/>
      <c r="W81" s="83"/>
      <c r="X81" s="32">
        <f>W81*Q81</f>
        <v>0</v>
      </c>
      <c r="Y81" s="24" t="s">
        <v>89</v>
      </c>
      <c r="Z81" s="15" t="s">
        <v>4</v>
      </c>
    </row>
    <row r="82" spans="3:26" s="15" customFormat="1" x14ac:dyDescent="0.35">
      <c r="C82" s="15" t="s">
        <v>20</v>
      </c>
      <c r="D82" s="36" t="s">
        <v>456</v>
      </c>
      <c r="E82" s="36" t="s">
        <v>157</v>
      </c>
      <c r="F82" s="36" t="s">
        <v>81</v>
      </c>
      <c r="H82" s="36" t="s">
        <v>221</v>
      </c>
      <c r="I82" s="35">
        <v>1</v>
      </c>
      <c r="J82" s="15" t="s">
        <v>65</v>
      </c>
      <c r="K82" s="34" t="s">
        <v>628</v>
      </c>
      <c r="L82" s="34"/>
      <c r="M82" s="15" t="s">
        <v>80</v>
      </c>
      <c r="P82" s="109"/>
      <c r="Q82" s="24"/>
      <c r="R82" s="123">
        <v>1</v>
      </c>
      <c r="S82" s="24"/>
      <c r="T82" s="32"/>
      <c r="U82" s="78" t="s">
        <v>460</v>
      </c>
      <c r="V82" s="83"/>
      <c r="W82" s="83"/>
      <c r="X82" s="32">
        <f>W82*Q82</f>
        <v>0</v>
      </c>
      <c r="Z82" s="15" t="s">
        <v>4</v>
      </c>
    </row>
    <row r="83" spans="3:26" s="15" customFormat="1" x14ac:dyDescent="0.35">
      <c r="C83" s="15" t="s">
        <v>31</v>
      </c>
      <c r="D83" s="15" t="s">
        <v>31</v>
      </c>
      <c r="E83" s="36" t="s">
        <v>230</v>
      </c>
      <c r="F83" s="36" t="s">
        <v>43</v>
      </c>
      <c r="H83" s="15" t="s">
        <v>323</v>
      </c>
      <c r="I83" s="35">
        <v>1</v>
      </c>
      <c r="J83" s="15" t="s">
        <v>65</v>
      </c>
      <c r="K83" s="34">
        <v>2007</v>
      </c>
      <c r="L83" s="112"/>
      <c r="M83" s="15" t="s">
        <v>32</v>
      </c>
      <c r="O83" s="98" t="s">
        <v>391</v>
      </c>
      <c r="P83" s="15">
        <v>3</v>
      </c>
      <c r="Q83" s="24">
        <v>9000</v>
      </c>
      <c r="R83" s="98">
        <v>0.5</v>
      </c>
      <c r="S83" s="99">
        <v>1.5</v>
      </c>
      <c r="T83" s="32">
        <v>4500</v>
      </c>
      <c r="U83" s="78" t="s">
        <v>461</v>
      </c>
      <c r="V83" s="83">
        <v>0.5</v>
      </c>
      <c r="W83" s="83">
        <v>1</v>
      </c>
      <c r="X83" s="24">
        <v>4500</v>
      </c>
      <c r="Y83" s="15" t="s">
        <v>107</v>
      </c>
      <c r="Z83" s="15" t="s">
        <v>4</v>
      </c>
    </row>
    <row r="84" spans="3:26" s="15" customFormat="1" x14ac:dyDescent="0.35">
      <c r="C84" s="15" t="s">
        <v>31</v>
      </c>
      <c r="D84" s="15" t="s">
        <v>31</v>
      </c>
      <c r="E84" s="15" t="s">
        <v>225</v>
      </c>
      <c r="F84" s="15" t="s">
        <v>46</v>
      </c>
      <c r="H84" s="15" t="s">
        <v>324</v>
      </c>
      <c r="I84" s="35">
        <v>1</v>
      </c>
      <c r="J84" s="15" t="s">
        <v>65</v>
      </c>
      <c r="K84" s="34">
        <v>2010</v>
      </c>
      <c r="L84" s="112"/>
      <c r="M84" s="15" t="s">
        <v>32</v>
      </c>
      <c r="O84" s="15" t="s">
        <v>636</v>
      </c>
      <c r="P84" s="15">
        <v>4</v>
      </c>
      <c r="Q84" s="24">
        <v>9200</v>
      </c>
      <c r="R84" s="98">
        <v>0.5</v>
      </c>
      <c r="S84" s="125">
        <v>2</v>
      </c>
      <c r="T84" s="32">
        <v>4600</v>
      </c>
      <c r="U84" s="78" t="s">
        <v>461</v>
      </c>
      <c r="V84" s="83">
        <v>0.5</v>
      </c>
      <c r="W84" s="83">
        <v>1</v>
      </c>
      <c r="X84" s="24">
        <v>4600</v>
      </c>
      <c r="Y84" s="15" t="s">
        <v>107</v>
      </c>
      <c r="Z84" s="15" t="s">
        <v>4</v>
      </c>
    </row>
    <row r="85" spans="3:26" s="15" customFormat="1" x14ac:dyDescent="0.35">
      <c r="C85" s="15" t="s">
        <v>31</v>
      </c>
      <c r="D85" s="15" t="s">
        <v>31</v>
      </c>
      <c r="E85" s="36" t="s">
        <v>225</v>
      </c>
      <c r="F85" s="36" t="s">
        <v>46</v>
      </c>
      <c r="H85" s="36" t="s">
        <v>321</v>
      </c>
      <c r="I85" s="35">
        <v>1</v>
      </c>
      <c r="J85" s="36" t="s">
        <v>65</v>
      </c>
      <c r="K85" s="34">
        <v>2016</v>
      </c>
      <c r="L85" s="34"/>
      <c r="M85" s="15" t="s">
        <v>32</v>
      </c>
      <c r="O85" s="15" t="s">
        <v>463</v>
      </c>
      <c r="P85" s="109">
        <v>1</v>
      </c>
      <c r="Q85" s="24">
        <v>2000</v>
      </c>
      <c r="R85" s="98">
        <v>0.9</v>
      </c>
      <c r="S85" s="99">
        <v>0.9</v>
      </c>
      <c r="T85" s="32">
        <v>1800</v>
      </c>
      <c r="U85" s="78" t="s">
        <v>461</v>
      </c>
      <c r="V85" s="83">
        <v>0.1</v>
      </c>
      <c r="W85" s="83">
        <v>1</v>
      </c>
      <c r="X85" s="24">
        <v>200</v>
      </c>
      <c r="Z85" s="15" t="s">
        <v>4</v>
      </c>
    </row>
    <row r="86" spans="3:26" s="15" customFormat="1" x14ac:dyDescent="0.35">
      <c r="C86" s="15" t="s">
        <v>31</v>
      </c>
      <c r="D86" s="15" t="s">
        <v>31</v>
      </c>
      <c r="E86" s="36" t="s">
        <v>220</v>
      </c>
      <c r="F86" s="36" t="s">
        <v>39</v>
      </c>
      <c r="H86" s="36" t="s">
        <v>174</v>
      </c>
      <c r="I86" s="35">
        <v>1</v>
      </c>
      <c r="J86" s="15" t="s">
        <v>65</v>
      </c>
      <c r="K86" s="34">
        <v>1991</v>
      </c>
      <c r="L86" s="140"/>
      <c r="M86" s="15" t="s">
        <v>32</v>
      </c>
      <c r="P86" s="109">
        <v>1</v>
      </c>
      <c r="Q86" s="24">
        <v>250</v>
      </c>
      <c r="R86" s="98">
        <v>1</v>
      </c>
      <c r="S86" s="89">
        <v>1</v>
      </c>
      <c r="T86" s="32">
        <v>250</v>
      </c>
      <c r="U86" s="78" t="s">
        <v>460</v>
      </c>
      <c r="V86" s="83"/>
      <c r="W86" s="83"/>
      <c r="X86" s="24">
        <f t="shared" ref="X86:X92" si="3">W86*Q86</f>
        <v>0</v>
      </c>
      <c r="Z86" s="15" t="s">
        <v>4</v>
      </c>
    </row>
    <row r="87" spans="3:26" s="15" customFormat="1" x14ac:dyDescent="0.35">
      <c r="C87" s="15" t="s">
        <v>31</v>
      </c>
      <c r="D87" s="15" t="s">
        <v>31</v>
      </c>
      <c r="E87" s="15" t="s">
        <v>182</v>
      </c>
      <c r="F87" s="15" t="s">
        <v>41</v>
      </c>
      <c r="H87" s="15" t="s">
        <v>136</v>
      </c>
      <c r="I87" s="35">
        <v>1</v>
      </c>
      <c r="J87" s="15" t="s">
        <v>65</v>
      </c>
      <c r="K87" s="34">
        <v>1992</v>
      </c>
      <c r="L87" s="34"/>
      <c r="M87" s="15" t="s">
        <v>32</v>
      </c>
      <c r="P87" s="109">
        <v>1</v>
      </c>
      <c r="Q87" s="24">
        <v>250</v>
      </c>
      <c r="R87" s="98">
        <v>1</v>
      </c>
      <c r="S87" s="24">
        <v>1</v>
      </c>
      <c r="T87" s="32">
        <v>250</v>
      </c>
      <c r="U87" s="78" t="s">
        <v>460</v>
      </c>
      <c r="V87" s="83"/>
      <c r="W87" s="83"/>
      <c r="X87" s="24">
        <f t="shared" si="3"/>
        <v>0</v>
      </c>
      <c r="Z87" s="15" t="s">
        <v>4</v>
      </c>
    </row>
    <row r="88" spans="3:26" s="15" customFormat="1" x14ac:dyDescent="0.35">
      <c r="C88" s="15" t="s">
        <v>31</v>
      </c>
      <c r="D88" s="15" t="s">
        <v>31</v>
      </c>
      <c r="E88" s="36" t="s">
        <v>225</v>
      </c>
      <c r="F88" s="36" t="s">
        <v>42</v>
      </c>
      <c r="H88" s="15" t="s">
        <v>36</v>
      </c>
      <c r="I88" s="35">
        <v>1</v>
      </c>
      <c r="J88" s="15" t="s">
        <v>65</v>
      </c>
      <c r="K88" s="34">
        <v>1995</v>
      </c>
      <c r="L88" s="34"/>
      <c r="M88" s="15" t="s">
        <v>32</v>
      </c>
      <c r="P88" s="109">
        <v>3</v>
      </c>
      <c r="Q88" s="24">
        <v>675</v>
      </c>
      <c r="R88" s="98">
        <v>1</v>
      </c>
      <c r="S88" s="24">
        <v>3</v>
      </c>
      <c r="T88" s="32">
        <v>675</v>
      </c>
      <c r="U88" s="78" t="s">
        <v>460</v>
      </c>
      <c r="V88" s="83"/>
      <c r="W88" s="83"/>
      <c r="X88" s="24">
        <f t="shared" si="3"/>
        <v>0</v>
      </c>
      <c r="Z88" s="15" t="s">
        <v>4</v>
      </c>
    </row>
    <row r="89" spans="3:26" s="15" customFormat="1" x14ac:dyDescent="0.35">
      <c r="C89" s="15" t="s">
        <v>31</v>
      </c>
      <c r="D89" s="15" t="s">
        <v>31</v>
      </c>
      <c r="E89" s="36" t="s">
        <v>219</v>
      </c>
      <c r="F89" s="36" t="s">
        <v>38</v>
      </c>
      <c r="H89" s="36" t="s">
        <v>34</v>
      </c>
      <c r="I89" s="35">
        <v>1</v>
      </c>
      <c r="J89" s="15" t="s">
        <v>65</v>
      </c>
      <c r="K89" s="34">
        <v>1996</v>
      </c>
      <c r="L89" s="140"/>
      <c r="M89" s="15" t="s">
        <v>32</v>
      </c>
      <c r="P89" s="109">
        <v>4</v>
      </c>
      <c r="Q89" s="24">
        <v>900</v>
      </c>
      <c r="R89" s="98">
        <v>1</v>
      </c>
      <c r="S89" s="89">
        <v>4</v>
      </c>
      <c r="T89" s="32">
        <v>900</v>
      </c>
      <c r="U89" s="78" t="s">
        <v>460</v>
      </c>
      <c r="V89" s="83"/>
      <c r="W89" s="83"/>
      <c r="X89" s="24">
        <f t="shared" si="3"/>
        <v>0</v>
      </c>
      <c r="Z89" s="15" t="s">
        <v>4</v>
      </c>
    </row>
    <row r="90" spans="3:26" s="15" customFormat="1" x14ac:dyDescent="0.35">
      <c r="C90" s="15" t="s">
        <v>31</v>
      </c>
      <c r="D90" s="36" t="s">
        <v>31</v>
      </c>
      <c r="E90" s="36" t="s">
        <v>359</v>
      </c>
      <c r="F90" s="36"/>
      <c r="H90" s="15" t="s">
        <v>444</v>
      </c>
      <c r="I90" s="35">
        <v>1</v>
      </c>
      <c r="J90" s="15" t="s">
        <v>65</v>
      </c>
      <c r="K90" s="34">
        <v>2000</v>
      </c>
      <c r="L90" s="34"/>
      <c r="M90" s="15" t="s">
        <v>32</v>
      </c>
      <c r="P90" s="109">
        <v>2</v>
      </c>
      <c r="Q90" s="24">
        <v>1320</v>
      </c>
      <c r="R90" s="98">
        <v>1</v>
      </c>
      <c r="S90" s="24">
        <v>2</v>
      </c>
      <c r="T90" s="32">
        <v>1320</v>
      </c>
      <c r="U90" s="78" t="s">
        <v>460</v>
      </c>
      <c r="V90" s="83"/>
      <c r="W90" s="83"/>
      <c r="X90" s="24">
        <f t="shared" si="3"/>
        <v>0</v>
      </c>
      <c r="Z90" s="15" t="s">
        <v>4</v>
      </c>
    </row>
    <row r="91" spans="3:26" s="15" customFormat="1" x14ac:dyDescent="0.35">
      <c r="C91" s="15" t="s">
        <v>31</v>
      </c>
      <c r="D91" s="15" t="s">
        <v>31</v>
      </c>
      <c r="E91" s="36" t="s">
        <v>359</v>
      </c>
      <c r="F91" s="36"/>
      <c r="H91" s="36" t="s">
        <v>325</v>
      </c>
      <c r="I91" s="35">
        <v>1</v>
      </c>
      <c r="J91" s="15" t="s">
        <v>65</v>
      </c>
      <c r="K91" s="34">
        <v>2000</v>
      </c>
      <c r="L91" s="34"/>
      <c r="M91" s="15" t="s">
        <v>32</v>
      </c>
      <c r="P91" s="109">
        <v>2</v>
      </c>
      <c r="Q91" s="24">
        <v>1320</v>
      </c>
      <c r="R91" s="98">
        <v>1</v>
      </c>
      <c r="S91" s="24">
        <v>2</v>
      </c>
      <c r="T91" s="32">
        <v>1320</v>
      </c>
      <c r="U91" s="78" t="s">
        <v>460</v>
      </c>
      <c r="V91" s="83"/>
      <c r="W91" s="83"/>
      <c r="X91" s="24">
        <f t="shared" si="3"/>
        <v>0</v>
      </c>
      <c r="Z91" s="15" t="s">
        <v>4</v>
      </c>
    </row>
    <row r="92" spans="3:26" s="15" customFormat="1" x14ac:dyDescent="0.35">
      <c r="C92" s="15" t="s">
        <v>31</v>
      </c>
      <c r="D92" s="15" t="s">
        <v>31</v>
      </c>
      <c r="E92" s="15" t="s">
        <v>184</v>
      </c>
      <c r="F92" s="15" t="s">
        <v>37</v>
      </c>
      <c r="H92" s="15" t="s">
        <v>327</v>
      </c>
      <c r="I92" s="35">
        <v>1</v>
      </c>
      <c r="J92" s="15" t="s">
        <v>65</v>
      </c>
      <c r="K92" s="34">
        <v>2000</v>
      </c>
      <c r="L92" s="34"/>
      <c r="M92" s="15" t="s">
        <v>32</v>
      </c>
      <c r="P92" s="109">
        <v>2</v>
      </c>
      <c r="Q92" s="24">
        <v>1320</v>
      </c>
      <c r="R92" s="98">
        <v>1</v>
      </c>
      <c r="S92" s="24">
        <v>2</v>
      </c>
      <c r="T92" s="32">
        <v>1320</v>
      </c>
      <c r="U92" s="78" t="s">
        <v>460</v>
      </c>
      <c r="V92" s="83"/>
      <c r="W92" s="83"/>
      <c r="X92" s="24">
        <f t="shared" si="3"/>
        <v>0</v>
      </c>
      <c r="Z92" s="15" t="s">
        <v>4</v>
      </c>
    </row>
    <row r="93" spans="3:26" s="15" customFormat="1" x14ac:dyDescent="0.35">
      <c r="C93" s="15" t="s">
        <v>31</v>
      </c>
      <c r="D93" s="15" t="s">
        <v>31</v>
      </c>
      <c r="E93" s="36" t="s">
        <v>44</v>
      </c>
      <c r="F93" s="36"/>
      <c r="H93" s="15" t="s">
        <v>380</v>
      </c>
      <c r="I93" s="35">
        <v>1</v>
      </c>
      <c r="J93" s="15" t="s">
        <v>65</v>
      </c>
      <c r="K93" s="34">
        <v>2003</v>
      </c>
      <c r="L93" s="34"/>
      <c r="M93" s="15" t="s">
        <v>32</v>
      </c>
      <c r="N93" s="15" t="s">
        <v>232</v>
      </c>
      <c r="O93" s="15" t="s">
        <v>45</v>
      </c>
      <c r="P93" s="109">
        <v>10</v>
      </c>
      <c r="Q93" s="24">
        <v>9000</v>
      </c>
      <c r="R93" s="98">
        <v>0.44</v>
      </c>
      <c r="S93" s="24">
        <v>4.4000000000000004</v>
      </c>
      <c r="T93" s="32">
        <v>3960</v>
      </c>
      <c r="U93" s="78" t="s">
        <v>460</v>
      </c>
      <c r="V93" s="83"/>
      <c r="W93" s="83"/>
      <c r="X93" s="24">
        <f>V93*Q93</f>
        <v>0</v>
      </c>
      <c r="Z93" s="15" t="s">
        <v>4</v>
      </c>
    </row>
    <row r="94" spans="3:26" s="15" customFormat="1" x14ac:dyDescent="0.35">
      <c r="C94" s="15" t="s">
        <v>31</v>
      </c>
      <c r="D94" s="15" t="s">
        <v>31</v>
      </c>
      <c r="E94" s="15" t="s">
        <v>359</v>
      </c>
      <c r="F94" s="15" t="s">
        <v>40</v>
      </c>
      <c r="H94" s="15" t="s">
        <v>35</v>
      </c>
      <c r="I94" s="35">
        <v>1</v>
      </c>
      <c r="J94" s="15" t="s">
        <v>65</v>
      </c>
      <c r="K94" s="34">
        <v>2004</v>
      </c>
      <c r="L94" s="34"/>
      <c r="M94" s="15" t="s">
        <v>32</v>
      </c>
      <c r="P94" s="109">
        <v>2</v>
      </c>
      <c r="Q94" s="24">
        <v>1800</v>
      </c>
      <c r="R94" s="98">
        <v>1</v>
      </c>
      <c r="S94" s="24">
        <v>2</v>
      </c>
      <c r="T94" s="32">
        <v>1800</v>
      </c>
      <c r="U94" s="78" t="s">
        <v>460</v>
      </c>
      <c r="V94" s="83"/>
      <c r="W94" s="83"/>
      <c r="X94" s="24">
        <f t="shared" ref="X94:X110" si="4">W94*Q94</f>
        <v>0</v>
      </c>
      <c r="Z94" s="15" t="s">
        <v>4</v>
      </c>
    </row>
    <row r="95" spans="3:26" s="15" customFormat="1" x14ac:dyDescent="0.35">
      <c r="C95" s="15" t="s">
        <v>31</v>
      </c>
      <c r="D95" s="15" t="s">
        <v>31</v>
      </c>
      <c r="E95" s="15" t="s">
        <v>359</v>
      </c>
      <c r="F95" s="15" t="s">
        <v>40</v>
      </c>
      <c r="H95" s="15" t="s">
        <v>322</v>
      </c>
      <c r="I95" s="35">
        <v>1</v>
      </c>
      <c r="J95" s="15" t="s">
        <v>65</v>
      </c>
      <c r="K95" s="34">
        <v>2008</v>
      </c>
      <c r="L95" s="34"/>
      <c r="M95" s="15" t="s">
        <v>32</v>
      </c>
      <c r="P95" s="109">
        <v>1</v>
      </c>
      <c r="Q95" s="24">
        <v>900</v>
      </c>
      <c r="R95" s="98">
        <v>1</v>
      </c>
      <c r="S95" s="24">
        <v>1</v>
      </c>
      <c r="T95" s="32">
        <v>900</v>
      </c>
      <c r="U95" s="78" t="s">
        <v>460</v>
      </c>
      <c r="V95" s="83"/>
      <c r="W95" s="83"/>
      <c r="X95" s="24">
        <f t="shared" si="4"/>
        <v>0</v>
      </c>
      <c r="Z95" s="15" t="s">
        <v>4</v>
      </c>
    </row>
    <row r="96" spans="3:26" s="15" customFormat="1" x14ac:dyDescent="0.35">
      <c r="C96" s="15" t="s">
        <v>31</v>
      </c>
      <c r="D96" s="15" t="s">
        <v>31</v>
      </c>
      <c r="E96" s="36" t="s">
        <v>359</v>
      </c>
      <c r="F96" s="36"/>
      <c r="H96" s="36" t="s">
        <v>375</v>
      </c>
      <c r="I96" s="35">
        <v>1</v>
      </c>
      <c r="J96" s="15" t="s">
        <v>65</v>
      </c>
      <c r="K96" s="34">
        <v>2015</v>
      </c>
      <c r="L96" s="112"/>
      <c r="M96" s="15" t="s">
        <v>32</v>
      </c>
      <c r="P96" s="109">
        <v>1</v>
      </c>
      <c r="Q96" s="24">
        <v>2350</v>
      </c>
      <c r="R96" s="98">
        <v>1</v>
      </c>
      <c r="S96" s="24">
        <v>1</v>
      </c>
      <c r="T96" s="32">
        <v>2350</v>
      </c>
      <c r="U96" s="78" t="s">
        <v>460</v>
      </c>
      <c r="V96" s="83"/>
      <c r="W96" s="83"/>
      <c r="X96" s="24">
        <f t="shared" si="4"/>
        <v>0</v>
      </c>
      <c r="Z96" s="15" t="s">
        <v>4</v>
      </c>
    </row>
    <row r="97" spans="3:26" s="15" customFormat="1" x14ac:dyDescent="0.35">
      <c r="C97" s="15" t="s">
        <v>31</v>
      </c>
      <c r="D97" s="15" t="s">
        <v>31</v>
      </c>
      <c r="E97" s="36" t="s">
        <v>359</v>
      </c>
      <c r="F97" s="36" t="s">
        <v>40</v>
      </c>
      <c r="H97" s="36" t="s">
        <v>48</v>
      </c>
      <c r="I97" s="35">
        <v>1</v>
      </c>
      <c r="J97" s="36" t="s">
        <v>65</v>
      </c>
      <c r="K97" s="34">
        <v>2016</v>
      </c>
      <c r="L97" s="34"/>
      <c r="M97" s="15" t="s">
        <v>32</v>
      </c>
      <c r="O97" s="15" t="s">
        <v>49</v>
      </c>
      <c r="P97" s="109">
        <v>1</v>
      </c>
      <c r="Q97" s="24">
        <v>2000</v>
      </c>
      <c r="R97" s="98">
        <v>0.5</v>
      </c>
      <c r="S97" s="24">
        <v>0.5</v>
      </c>
      <c r="T97" s="32">
        <v>1000</v>
      </c>
      <c r="U97" s="78" t="s">
        <v>460</v>
      </c>
      <c r="V97" s="83"/>
      <c r="W97" s="83"/>
      <c r="X97" s="24">
        <f t="shared" si="4"/>
        <v>0</v>
      </c>
      <c r="Z97" s="15" t="s">
        <v>4</v>
      </c>
    </row>
    <row r="98" spans="3:26" s="15" customFormat="1" x14ac:dyDescent="0.35">
      <c r="C98" s="15" t="s">
        <v>31</v>
      </c>
      <c r="D98" s="15" t="s">
        <v>31</v>
      </c>
      <c r="E98" s="36" t="s">
        <v>219</v>
      </c>
      <c r="F98" s="36" t="s">
        <v>259</v>
      </c>
      <c r="H98" s="36" t="s">
        <v>260</v>
      </c>
      <c r="I98" s="35">
        <v>1</v>
      </c>
      <c r="J98" s="36" t="s">
        <v>65</v>
      </c>
      <c r="K98" s="34">
        <v>2017</v>
      </c>
      <c r="L98" s="34"/>
      <c r="M98" s="15" t="s">
        <v>30</v>
      </c>
      <c r="O98" s="15" t="s">
        <v>639</v>
      </c>
      <c r="P98" s="15">
        <v>2</v>
      </c>
      <c r="Q98" s="24">
        <v>6000</v>
      </c>
      <c r="R98" s="98">
        <v>0.51</v>
      </c>
      <c r="S98" s="24">
        <v>1.02</v>
      </c>
      <c r="T98" s="32">
        <v>3060</v>
      </c>
      <c r="U98" s="78" t="s">
        <v>460</v>
      </c>
      <c r="V98" s="83"/>
      <c r="W98" s="83"/>
      <c r="X98" s="24">
        <f t="shared" si="4"/>
        <v>0</v>
      </c>
      <c r="Y98" s="101"/>
      <c r="Z98" s="15" t="s">
        <v>4</v>
      </c>
    </row>
    <row r="99" spans="3:26" s="15" customFormat="1" x14ac:dyDescent="0.35">
      <c r="C99" s="15" t="s">
        <v>31</v>
      </c>
      <c r="D99" s="15" t="s">
        <v>31</v>
      </c>
      <c r="E99" s="36" t="s">
        <v>219</v>
      </c>
      <c r="F99" s="36" t="s">
        <v>259</v>
      </c>
      <c r="H99" s="36" t="s">
        <v>261</v>
      </c>
      <c r="I99" s="35">
        <v>1</v>
      </c>
      <c r="J99" s="15" t="s">
        <v>65</v>
      </c>
      <c r="K99" s="34">
        <v>2018</v>
      </c>
      <c r="L99" s="34"/>
      <c r="M99" s="15" t="s">
        <v>30</v>
      </c>
      <c r="O99" s="15" t="s">
        <v>639</v>
      </c>
      <c r="P99" s="15">
        <v>23</v>
      </c>
      <c r="Q99" s="24">
        <v>69000</v>
      </c>
      <c r="R99" s="98">
        <v>0.51</v>
      </c>
      <c r="S99" s="24">
        <v>11.73</v>
      </c>
      <c r="T99" s="32">
        <v>35190</v>
      </c>
      <c r="U99" s="78" t="s">
        <v>460</v>
      </c>
      <c r="V99" s="83"/>
      <c r="W99" s="83"/>
      <c r="X99" s="24">
        <f t="shared" si="4"/>
        <v>0</v>
      </c>
      <c r="Y99" s="101"/>
      <c r="Z99" s="15" t="s">
        <v>4</v>
      </c>
    </row>
    <row r="100" spans="3:26" s="15" customFormat="1" x14ac:dyDescent="0.35">
      <c r="C100" s="15" t="s">
        <v>31</v>
      </c>
      <c r="D100" s="15" t="s">
        <v>31</v>
      </c>
      <c r="E100" s="36" t="s">
        <v>359</v>
      </c>
      <c r="F100" s="36" t="s">
        <v>40</v>
      </c>
      <c r="H100" s="36" t="s">
        <v>228</v>
      </c>
      <c r="I100" s="35">
        <v>1</v>
      </c>
      <c r="J100" s="15" t="s">
        <v>65</v>
      </c>
      <c r="K100" s="34">
        <v>2018</v>
      </c>
      <c r="L100" s="34"/>
      <c r="M100" s="15" t="s">
        <v>32</v>
      </c>
      <c r="P100" s="109">
        <v>1</v>
      </c>
      <c r="Q100" s="24">
        <v>2300</v>
      </c>
      <c r="R100" s="98">
        <v>1</v>
      </c>
      <c r="S100" s="24">
        <v>1</v>
      </c>
      <c r="T100" s="32">
        <v>2300</v>
      </c>
      <c r="U100" s="78" t="s">
        <v>460</v>
      </c>
      <c r="V100" s="83"/>
      <c r="W100" s="83"/>
      <c r="X100" s="24">
        <f t="shared" si="4"/>
        <v>0</v>
      </c>
      <c r="Z100" s="15" t="s">
        <v>4</v>
      </c>
    </row>
    <row r="101" spans="3:26" s="15" customFormat="1" x14ac:dyDescent="0.35">
      <c r="C101" s="15" t="s">
        <v>31</v>
      </c>
      <c r="D101" s="15" t="s">
        <v>31</v>
      </c>
      <c r="E101" s="36" t="s">
        <v>182</v>
      </c>
      <c r="F101" s="36" t="s">
        <v>328</v>
      </c>
      <c r="H101" s="36" t="s">
        <v>378</v>
      </c>
      <c r="I101" s="35">
        <v>1</v>
      </c>
      <c r="J101" s="15" t="s">
        <v>65</v>
      </c>
      <c r="K101" s="34">
        <v>2018</v>
      </c>
      <c r="L101" s="34"/>
      <c r="M101" s="15" t="s">
        <v>32</v>
      </c>
      <c r="O101" s="15" t="s">
        <v>168</v>
      </c>
      <c r="P101" s="15">
        <v>7</v>
      </c>
      <c r="Q101" s="24">
        <v>29400</v>
      </c>
      <c r="R101" s="98">
        <v>0.25</v>
      </c>
      <c r="S101" s="104">
        <v>1.75</v>
      </c>
      <c r="T101" s="32">
        <v>7350</v>
      </c>
      <c r="U101" s="78" t="s">
        <v>460</v>
      </c>
      <c r="V101" s="83"/>
      <c r="W101" s="83"/>
      <c r="X101" s="24">
        <f t="shared" si="4"/>
        <v>0</v>
      </c>
      <c r="Z101" s="15" t="s">
        <v>4</v>
      </c>
    </row>
    <row r="102" spans="3:26" s="15" customFormat="1" x14ac:dyDescent="0.35">
      <c r="C102" s="15" t="s">
        <v>31</v>
      </c>
      <c r="D102" s="15" t="s">
        <v>31</v>
      </c>
      <c r="E102" s="36" t="s">
        <v>219</v>
      </c>
      <c r="F102" s="36" t="s">
        <v>259</v>
      </c>
      <c r="H102" s="36" t="s">
        <v>262</v>
      </c>
      <c r="I102" s="35">
        <v>1</v>
      </c>
      <c r="J102" s="15" t="s">
        <v>65</v>
      </c>
      <c r="K102" s="34">
        <v>2019</v>
      </c>
      <c r="L102" s="34"/>
      <c r="M102" s="15" t="s">
        <v>30</v>
      </c>
      <c r="O102" s="15" t="s">
        <v>639</v>
      </c>
      <c r="P102" s="15">
        <v>9</v>
      </c>
      <c r="Q102" s="24">
        <v>27000</v>
      </c>
      <c r="R102" s="98">
        <v>0.51</v>
      </c>
      <c r="S102" s="24">
        <v>4.59</v>
      </c>
      <c r="T102" s="32">
        <v>13770</v>
      </c>
      <c r="U102" s="78" t="s">
        <v>460</v>
      </c>
      <c r="V102" s="83"/>
      <c r="W102" s="83"/>
      <c r="X102" s="24">
        <f t="shared" si="4"/>
        <v>0</v>
      </c>
      <c r="Y102" s="101"/>
      <c r="Z102" s="15" t="s">
        <v>4</v>
      </c>
    </row>
    <row r="103" spans="3:26" s="15" customFormat="1" x14ac:dyDescent="0.35">
      <c r="C103" s="15" t="s">
        <v>31</v>
      </c>
      <c r="D103" s="15" t="s">
        <v>31</v>
      </c>
      <c r="E103" s="36" t="s">
        <v>219</v>
      </c>
      <c r="F103" s="36" t="s">
        <v>259</v>
      </c>
      <c r="H103" s="36" t="s">
        <v>390</v>
      </c>
      <c r="I103" s="35">
        <v>1</v>
      </c>
      <c r="J103" s="15" t="s">
        <v>65</v>
      </c>
      <c r="K103" s="34">
        <v>2020</v>
      </c>
      <c r="L103" s="34"/>
      <c r="M103" s="15" t="s">
        <v>30</v>
      </c>
      <c r="O103" s="15" t="s">
        <v>639</v>
      </c>
      <c r="R103" s="98">
        <v>0.09</v>
      </c>
      <c r="S103" s="24">
        <v>3.06</v>
      </c>
      <c r="T103" s="32">
        <v>9180</v>
      </c>
      <c r="U103" s="78" t="s">
        <v>460</v>
      </c>
      <c r="V103" s="83"/>
      <c r="W103" s="83"/>
      <c r="X103" s="24">
        <f t="shared" si="4"/>
        <v>0</v>
      </c>
      <c r="Y103" s="101"/>
      <c r="Z103" s="15" t="s">
        <v>4</v>
      </c>
    </row>
    <row r="104" spans="3:26" s="15" customFormat="1" x14ac:dyDescent="0.35">
      <c r="C104" s="15" t="s">
        <v>31</v>
      </c>
      <c r="D104" s="15" t="s">
        <v>31</v>
      </c>
      <c r="E104" s="15" t="s">
        <v>182</v>
      </c>
      <c r="F104" s="15" t="s">
        <v>328</v>
      </c>
      <c r="H104" s="15" t="s">
        <v>379</v>
      </c>
      <c r="I104" s="35">
        <v>1</v>
      </c>
      <c r="J104" s="36" t="s">
        <v>65</v>
      </c>
      <c r="K104" s="34">
        <v>2020</v>
      </c>
      <c r="L104" s="34"/>
      <c r="M104" s="15" t="s">
        <v>32</v>
      </c>
      <c r="P104" s="15">
        <v>2</v>
      </c>
      <c r="Q104" s="24">
        <v>8400</v>
      </c>
      <c r="R104" s="98">
        <v>0.25</v>
      </c>
      <c r="S104" s="104">
        <v>0.5</v>
      </c>
      <c r="T104" s="32">
        <v>2100</v>
      </c>
      <c r="U104" s="78" t="s">
        <v>460</v>
      </c>
      <c r="V104" s="83"/>
      <c r="W104" s="83"/>
      <c r="X104" s="24">
        <f t="shared" si="4"/>
        <v>0</v>
      </c>
      <c r="Z104" s="15" t="s">
        <v>4</v>
      </c>
    </row>
    <row r="105" spans="3:26" s="15" customFormat="1" x14ac:dyDescent="0.35">
      <c r="C105" s="15" t="s">
        <v>31</v>
      </c>
      <c r="D105" s="15" t="s">
        <v>31</v>
      </c>
      <c r="E105" s="15" t="s">
        <v>182</v>
      </c>
      <c r="F105" s="15" t="s">
        <v>328</v>
      </c>
      <c r="H105" s="15" t="s">
        <v>376</v>
      </c>
      <c r="I105" s="35">
        <v>1</v>
      </c>
      <c r="J105" s="15" t="s">
        <v>65</v>
      </c>
      <c r="K105" s="34">
        <v>2021</v>
      </c>
      <c r="L105" s="34"/>
      <c r="M105" s="15" t="s">
        <v>32</v>
      </c>
      <c r="O105" s="15" t="s">
        <v>168</v>
      </c>
      <c r="P105" s="15">
        <v>4</v>
      </c>
      <c r="Q105" s="24">
        <v>18000</v>
      </c>
      <c r="R105" s="98">
        <v>0.25</v>
      </c>
      <c r="S105" s="24">
        <v>1</v>
      </c>
      <c r="T105" s="32">
        <v>4500</v>
      </c>
      <c r="U105" s="78" t="s">
        <v>460</v>
      </c>
      <c r="V105" s="83"/>
      <c r="W105" s="83"/>
      <c r="X105" s="24">
        <f t="shared" si="4"/>
        <v>0</v>
      </c>
      <c r="Z105" s="15" t="s">
        <v>4</v>
      </c>
    </row>
    <row r="106" spans="3:26" s="15" customFormat="1" x14ac:dyDescent="0.35">
      <c r="C106" s="15" t="s">
        <v>31</v>
      </c>
      <c r="D106" s="15" t="s">
        <v>31</v>
      </c>
      <c r="E106" s="15" t="s">
        <v>219</v>
      </c>
      <c r="F106" s="15" t="s">
        <v>38</v>
      </c>
      <c r="H106" s="15" t="s">
        <v>442</v>
      </c>
      <c r="I106" s="35">
        <v>1</v>
      </c>
      <c r="J106" s="15" t="s">
        <v>455</v>
      </c>
      <c r="K106" s="34">
        <v>2016</v>
      </c>
      <c r="L106" s="34"/>
      <c r="M106" s="15" t="s">
        <v>32</v>
      </c>
      <c r="P106" s="109">
        <v>-4</v>
      </c>
      <c r="Q106" s="24">
        <v>-900</v>
      </c>
      <c r="R106" s="98">
        <v>1</v>
      </c>
      <c r="S106" s="89">
        <v>-4</v>
      </c>
      <c r="T106" s="32">
        <v>-900</v>
      </c>
      <c r="U106" s="77" t="s">
        <v>460</v>
      </c>
      <c r="V106" s="83"/>
      <c r="W106" s="83"/>
      <c r="X106" s="24">
        <f t="shared" si="4"/>
        <v>0</v>
      </c>
      <c r="Z106" s="15" t="s">
        <v>4</v>
      </c>
    </row>
    <row r="107" spans="3:26" s="15" customFormat="1" x14ac:dyDescent="0.35">
      <c r="C107" s="15" t="s">
        <v>31</v>
      </c>
      <c r="D107" s="36" t="s">
        <v>31</v>
      </c>
      <c r="E107" s="36" t="s">
        <v>225</v>
      </c>
      <c r="F107" s="36" t="s">
        <v>42</v>
      </c>
      <c r="H107" s="36" t="s">
        <v>440</v>
      </c>
      <c r="I107" s="35">
        <v>1</v>
      </c>
      <c r="J107" s="15" t="s">
        <v>455</v>
      </c>
      <c r="K107" s="34">
        <v>2016</v>
      </c>
      <c r="L107" s="34"/>
      <c r="M107" s="15" t="s">
        <v>32</v>
      </c>
      <c r="P107" s="109">
        <v>-3</v>
      </c>
      <c r="Q107" s="24">
        <v>-675</v>
      </c>
      <c r="R107" s="98">
        <v>1</v>
      </c>
      <c r="S107" s="24">
        <v>-3</v>
      </c>
      <c r="T107" s="32">
        <v>-675</v>
      </c>
      <c r="U107" s="77" t="s">
        <v>460</v>
      </c>
      <c r="V107" s="83"/>
      <c r="W107" s="83"/>
      <c r="X107" s="24">
        <f t="shared" si="4"/>
        <v>0</v>
      </c>
      <c r="Z107" s="15" t="s">
        <v>4</v>
      </c>
    </row>
    <row r="108" spans="3:26" s="15" customFormat="1" x14ac:dyDescent="0.35">
      <c r="C108" s="15" t="s">
        <v>31</v>
      </c>
      <c r="D108" s="36" t="s">
        <v>31</v>
      </c>
      <c r="E108" s="36" t="s">
        <v>220</v>
      </c>
      <c r="F108" s="36" t="s">
        <v>39</v>
      </c>
      <c r="H108" s="36" t="s">
        <v>443</v>
      </c>
      <c r="I108" s="35">
        <v>1</v>
      </c>
      <c r="J108" s="15" t="s">
        <v>455</v>
      </c>
      <c r="K108" s="34">
        <v>2017</v>
      </c>
      <c r="L108" s="140"/>
      <c r="M108" s="15" t="s">
        <v>32</v>
      </c>
      <c r="P108" s="109">
        <v>-1</v>
      </c>
      <c r="Q108" s="24">
        <v>-250</v>
      </c>
      <c r="R108" s="98">
        <v>1</v>
      </c>
      <c r="S108" s="89">
        <v>-1</v>
      </c>
      <c r="T108" s="32">
        <v>-250</v>
      </c>
      <c r="U108" s="77" t="s">
        <v>460</v>
      </c>
      <c r="V108" s="83"/>
      <c r="W108" s="83"/>
      <c r="X108" s="24">
        <f t="shared" si="4"/>
        <v>0</v>
      </c>
      <c r="Z108" s="15" t="s">
        <v>4</v>
      </c>
    </row>
    <row r="109" spans="3:26" s="15" customFormat="1" x14ac:dyDescent="0.35">
      <c r="C109" s="15" t="s">
        <v>31</v>
      </c>
      <c r="D109" s="36" t="s">
        <v>31</v>
      </c>
      <c r="E109" s="36" t="s">
        <v>182</v>
      </c>
      <c r="F109" s="36" t="s">
        <v>41</v>
      </c>
      <c r="H109" s="36" t="s">
        <v>439</v>
      </c>
      <c r="I109" s="35">
        <v>1</v>
      </c>
      <c r="J109" s="15" t="s">
        <v>455</v>
      </c>
      <c r="K109" s="34">
        <v>2017</v>
      </c>
      <c r="L109" s="34"/>
      <c r="M109" s="15" t="s">
        <v>32</v>
      </c>
      <c r="P109" s="109">
        <v>-1</v>
      </c>
      <c r="Q109" s="24">
        <v>-250</v>
      </c>
      <c r="R109" s="98">
        <v>1</v>
      </c>
      <c r="S109" s="24">
        <v>-1</v>
      </c>
      <c r="T109" s="32">
        <v>-250</v>
      </c>
      <c r="U109" s="77" t="s">
        <v>460</v>
      </c>
      <c r="V109" s="83"/>
      <c r="W109" s="83"/>
      <c r="X109" s="24">
        <f t="shared" si="4"/>
        <v>0</v>
      </c>
      <c r="Z109" s="15" t="s">
        <v>4</v>
      </c>
    </row>
    <row r="110" spans="3:26" s="15" customFormat="1" x14ac:dyDescent="0.35">
      <c r="C110" s="15" t="s">
        <v>31</v>
      </c>
      <c r="D110" s="36" t="s">
        <v>31</v>
      </c>
      <c r="E110" s="36" t="s">
        <v>359</v>
      </c>
      <c r="F110" s="36"/>
      <c r="H110" s="36" t="s">
        <v>441</v>
      </c>
      <c r="I110" s="35">
        <v>1</v>
      </c>
      <c r="J110" s="15" t="s">
        <v>455</v>
      </c>
      <c r="K110" s="34">
        <v>2021</v>
      </c>
      <c r="L110" s="34"/>
      <c r="M110" s="15" t="s">
        <v>32</v>
      </c>
      <c r="P110" s="109">
        <v>-2</v>
      </c>
      <c r="Q110" s="24">
        <v>-1320</v>
      </c>
      <c r="R110" s="98">
        <v>1</v>
      </c>
      <c r="S110" s="24">
        <v>-2</v>
      </c>
      <c r="T110" s="32">
        <v>-1320</v>
      </c>
      <c r="U110" s="78" t="s">
        <v>460</v>
      </c>
      <c r="V110" s="83"/>
      <c r="W110" s="83"/>
      <c r="X110" s="24">
        <f t="shared" si="4"/>
        <v>0</v>
      </c>
      <c r="Z110" s="15" t="s">
        <v>4</v>
      </c>
    </row>
    <row r="111" spans="3:26" s="15" customFormat="1" x14ac:dyDescent="0.35">
      <c r="C111" s="15" t="s">
        <v>8</v>
      </c>
      <c r="D111" s="15" t="s">
        <v>183</v>
      </c>
      <c r="E111" s="36" t="s">
        <v>183</v>
      </c>
      <c r="F111" s="36"/>
      <c r="H111" s="36" t="s">
        <v>306</v>
      </c>
      <c r="I111" s="35">
        <v>1</v>
      </c>
      <c r="J111" s="15" t="s">
        <v>65</v>
      </c>
      <c r="K111" s="34">
        <v>2021</v>
      </c>
      <c r="L111" s="34"/>
      <c r="M111" s="15" t="s">
        <v>23</v>
      </c>
      <c r="O111" s="98" t="s">
        <v>636</v>
      </c>
      <c r="P111" s="15">
        <v>3</v>
      </c>
      <c r="Q111" s="24">
        <v>10800</v>
      </c>
      <c r="R111" s="98">
        <v>0.5</v>
      </c>
      <c r="S111" s="24">
        <v>1.5</v>
      </c>
      <c r="T111" s="32">
        <v>5400</v>
      </c>
      <c r="U111" s="78" t="s">
        <v>461</v>
      </c>
      <c r="V111" s="83">
        <v>0.5</v>
      </c>
      <c r="W111" s="83">
        <v>1</v>
      </c>
      <c r="X111" s="24">
        <v>5400</v>
      </c>
      <c r="Y111" s="101"/>
      <c r="Z111" s="15" t="s">
        <v>4</v>
      </c>
    </row>
    <row r="112" spans="3:26" s="15" customFormat="1" x14ac:dyDescent="0.35">
      <c r="C112" s="15" t="s">
        <v>8</v>
      </c>
      <c r="D112" s="15" t="s">
        <v>183</v>
      </c>
      <c r="E112" s="36" t="s">
        <v>183</v>
      </c>
      <c r="F112" s="36" t="s">
        <v>47</v>
      </c>
      <c r="H112" s="36" t="s">
        <v>93</v>
      </c>
      <c r="I112" s="35">
        <v>1</v>
      </c>
      <c r="J112" s="15" t="s">
        <v>65</v>
      </c>
      <c r="K112" s="34">
        <v>1993</v>
      </c>
      <c r="L112" s="34"/>
      <c r="M112" s="15" t="s">
        <v>23</v>
      </c>
      <c r="O112" s="98"/>
      <c r="P112" s="109">
        <v>2</v>
      </c>
      <c r="Q112" s="24">
        <v>290</v>
      </c>
      <c r="R112" s="98">
        <v>1</v>
      </c>
      <c r="S112" s="24">
        <v>2</v>
      </c>
      <c r="T112" s="32">
        <v>290</v>
      </c>
      <c r="U112" s="78" t="s">
        <v>460</v>
      </c>
      <c r="V112" s="83"/>
      <c r="W112" s="83"/>
      <c r="X112" s="24">
        <f t="shared" ref="X112:X140" si="5">W112*Q112</f>
        <v>0</v>
      </c>
      <c r="Z112" s="15" t="s">
        <v>4</v>
      </c>
    </row>
    <row r="113" spans="2:26" s="15" customFormat="1" x14ac:dyDescent="0.35">
      <c r="C113" s="15" t="s">
        <v>8</v>
      </c>
      <c r="D113" s="15" t="s">
        <v>183</v>
      </c>
      <c r="E113" s="36" t="s">
        <v>183</v>
      </c>
      <c r="F113" s="36"/>
      <c r="H113" s="36" t="s">
        <v>319</v>
      </c>
      <c r="I113" s="35">
        <v>1</v>
      </c>
      <c r="J113" s="15" t="s">
        <v>65</v>
      </c>
      <c r="K113" s="34">
        <v>2003</v>
      </c>
      <c r="L113" s="34"/>
      <c r="M113" s="15" t="s">
        <v>23</v>
      </c>
      <c r="O113" s="98" t="s">
        <v>467</v>
      </c>
      <c r="P113" s="15">
        <v>12</v>
      </c>
      <c r="Q113" s="24">
        <v>21000</v>
      </c>
      <c r="R113" s="98">
        <v>0.5</v>
      </c>
      <c r="S113" s="24">
        <v>6</v>
      </c>
      <c r="T113" s="32">
        <v>10500</v>
      </c>
      <c r="U113" s="78" t="s">
        <v>460</v>
      </c>
      <c r="V113" s="83"/>
      <c r="W113" s="83"/>
      <c r="X113" s="24">
        <f t="shared" si="5"/>
        <v>0</v>
      </c>
      <c r="Y113" s="15" t="s">
        <v>107</v>
      </c>
      <c r="Z113" s="15" t="s">
        <v>4</v>
      </c>
    </row>
    <row r="114" spans="2:26" s="15" customFormat="1" x14ac:dyDescent="0.35">
      <c r="C114" s="15" t="s">
        <v>8</v>
      </c>
      <c r="D114" s="15" t="s">
        <v>286</v>
      </c>
      <c r="E114" s="15" t="s">
        <v>64</v>
      </c>
      <c r="H114" s="15" t="s">
        <v>91</v>
      </c>
      <c r="I114" s="35">
        <v>1</v>
      </c>
      <c r="J114" s="15" t="s">
        <v>65</v>
      </c>
      <c r="K114" s="34">
        <v>2012</v>
      </c>
      <c r="L114" s="34"/>
      <c r="M114" s="15" t="s">
        <v>214</v>
      </c>
      <c r="P114" s="109">
        <v>1</v>
      </c>
      <c r="Q114" s="24">
        <v>750</v>
      </c>
      <c r="R114" s="123">
        <v>1</v>
      </c>
      <c r="S114" s="24">
        <v>1</v>
      </c>
      <c r="T114" s="32">
        <v>750</v>
      </c>
      <c r="U114" s="77" t="s">
        <v>460</v>
      </c>
      <c r="V114" s="83"/>
      <c r="W114" s="83"/>
      <c r="X114" s="24">
        <f t="shared" si="5"/>
        <v>0</v>
      </c>
      <c r="Z114" s="15" t="s">
        <v>4</v>
      </c>
    </row>
    <row r="115" spans="2:26" s="15" customFormat="1" x14ac:dyDescent="0.35">
      <c r="C115" s="15" t="s">
        <v>8</v>
      </c>
      <c r="D115" s="15" t="s">
        <v>183</v>
      </c>
      <c r="E115" s="36" t="s">
        <v>183</v>
      </c>
      <c r="F115" s="36"/>
      <c r="H115" s="36" t="s">
        <v>640</v>
      </c>
      <c r="I115" s="35">
        <v>1</v>
      </c>
      <c r="J115" s="15" t="s">
        <v>65</v>
      </c>
      <c r="K115" s="34">
        <v>2016</v>
      </c>
      <c r="L115" s="34"/>
      <c r="M115" s="15" t="s">
        <v>23</v>
      </c>
      <c r="O115" s="98"/>
      <c r="P115" s="15">
        <v>4</v>
      </c>
      <c r="Q115" s="24">
        <v>12000</v>
      </c>
      <c r="R115" s="98">
        <v>1</v>
      </c>
      <c r="S115" s="24">
        <v>4</v>
      </c>
      <c r="T115" s="32">
        <v>12000</v>
      </c>
      <c r="U115" s="78" t="s">
        <v>460</v>
      </c>
      <c r="V115" s="83"/>
      <c r="W115" s="83"/>
      <c r="X115" s="24">
        <f t="shared" si="5"/>
        <v>0</v>
      </c>
      <c r="Y115" s="101"/>
      <c r="Z115" s="15" t="s">
        <v>4</v>
      </c>
    </row>
    <row r="116" spans="2:26" s="15" customFormat="1" x14ac:dyDescent="0.35">
      <c r="B116" s="21"/>
      <c r="C116" s="15" t="s">
        <v>8</v>
      </c>
      <c r="D116" s="15" t="s">
        <v>183</v>
      </c>
      <c r="E116" s="15" t="s">
        <v>77</v>
      </c>
      <c r="G116" s="21"/>
      <c r="H116" s="15" t="s">
        <v>546</v>
      </c>
      <c r="I116" s="35">
        <v>1</v>
      </c>
      <c r="J116" s="15" t="s">
        <v>65</v>
      </c>
      <c r="K116" s="34">
        <v>2016</v>
      </c>
      <c r="L116" s="34">
        <v>2019</v>
      </c>
      <c r="M116" s="15" t="s">
        <v>18</v>
      </c>
      <c r="P116" s="15">
        <v>4</v>
      </c>
      <c r="Q116" s="24">
        <v>12000</v>
      </c>
      <c r="R116" s="98">
        <v>1</v>
      </c>
      <c r="S116" s="24">
        <v>4</v>
      </c>
      <c r="T116" s="32">
        <v>12000</v>
      </c>
      <c r="U116" s="78" t="s">
        <v>460</v>
      </c>
      <c r="V116" s="83"/>
      <c r="W116" s="83"/>
      <c r="X116" s="32">
        <f t="shared" si="5"/>
        <v>0</v>
      </c>
      <c r="Z116" s="15" t="s">
        <v>4</v>
      </c>
    </row>
    <row r="117" spans="2:26" s="15" customFormat="1" x14ac:dyDescent="0.35">
      <c r="B117" s="21"/>
      <c r="C117" s="15" t="s">
        <v>8</v>
      </c>
      <c r="D117" s="15" t="s">
        <v>183</v>
      </c>
      <c r="E117" s="15" t="s">
        <v>77</v>
      </c>
      <c r="G117" s="21"/>
      <c r="H117" s="15" t="s">
        <v>545</v>
      </c>
      <c r="I117" s="35">
        <v>1</v>
      </c>
      <c r="J117" s="141" t="s">
        <v>490</v>
      </c>
      <c r="K117" s="34">
        <v>2019</v>
      </c>
      <c r="L117" s="34"/>
      <c r="M117" s="15" t="s">
        <v>18</v>
      </c>
      <c r="P117" s="15">
        <v>-4</v>
      </c>
      <c r="Q117" s="24">
        <v>-12000</v>
      </c>
      <c r="R117" s="98">
        <v>1</v>
      </c>
      <c r="S117" s="24">
        <v>-4</v>
      </c>
      <c r="T117" s="32">
        <v>-12000</v>
      </c>
      <c r="U117" s="78" t="s">
        <v>460</v>
      </c>
      <c r="V117" s="83"/>
      <c r="W117" s="83"/>
      <c r="X117" s="32">
        <f t="shared" si="5"/>
        <v>0</v>
      </c>
      <c r="Z117" s="15" t="s">
        <v>4</v>
      </c>
    </row>
    <row r="118" spans="2:26" s="15" customFormat="1" x14ac:dyDescent="0.35">
      <c r="C118" s="15" t="s">
        <v>8</v>
      </c>
      <c r="D118" s="15" t="s">
        <v>183</v>
      </c>
      <c r="E118" s="36" t="s">
        <v>183</v>
      </c>
      <c r="F118" s="36"/>
      <c r="H118" s="15" t="s">
        <v>318</v>
      </c>
      <c r="I118" s="87">
        <v>1</v>
      </c>
      <c r="J118" s="15" t="s">
        <v>65</v>
      </c>
      <c r="K118" s="34">
        <v>2021</v>
      </c>
      <c r="L118" s="34"/>
      <c r="M118" s="15" t="s">
        <v>23</v>
      </c>
      <c r="O118" s="98" t="s">
        <v>467</v>
      </c>
      <c r="P118" s="103">
        <v>7</v>
      </c>
      <c r="Q118" s="24">
        <v>33600</v>
      </c>
      <c r="R118" s="98">
        <v>0.5</v>
      </c>
      <c r="S118" s="99">
        <v>3.5</v>
      </c>
      <c r="T118" s="32">
        <v>16800</v>
      </c>
      <c r="U118" s="78" t="s">
        <v>460</v>
      </c>
      <c r="V118" s="83"/>
      <c r="W118" s="83"/>
      <c r="X118" s="24">
        <f t="shared" si="5"/>
        <v>0</v>
      </c>
      <c r="Y118" s="101"/>
      <c r="Z118" s="15" t="s">
        <v>4</v>
      </c>
    </row>
    <row r="119" spans="2:26" s="15" customFormat="1" x14ac:dyDescent="0.35">
      <c r="C119" s="15" t="s">
        <v>8</v>
      </c>
      <c r="D119" s="15" t="s">
        <v>183</v>
      </c>
      <c r="E119" s="36" t="s">
        <v>183</v>
      </c>
      <c r="F119" s="36"/>
      <c r="H119" s="36" t="s">
        <v>187</v>
      </c>
      <c r="I119" s="87">
        <v>1</v>
      </c>
      <c r="J119" s="15" t="s">
        <v>65</v>
      </c>
      <c r="K119" s="34">
        <v>2021</v>
      </c>
      <c r="L119" s="34"/>
      <c r="M119" s="15" t="s">
        <v>23</v>
      </c>
      <c r="O119" s="98" t="s">
        <v>12</v>
      </c>
      <c r="P119" s="15">
        <v>3</v>
      </c>
      <c r="Q119" s="24">
        <v>10800</v>
      </c>
      <c r="R119" s="98">
        <v>0.5</v>
      </c>
      <c r="S119" s="99">
        <v>1.5</v>
      </c>
      <c r="T119" s="32">
        <v>5400</v>
      </c>
      <c r="U119" s="78" t="s">
        <v>460</v>
      </c>
      <c r="V119" s="83"/>
      <c r="W119" s="83"/>
      <c r="X119" s="24">
        <f t="shared" si="5"/>
        <v>0</v>
      </c>
      <c r="Y119" s="15" t="s">
        <v>107</v>
      </c>
      <c r="Z119" s="15" t="s">
        <v>4</v>
      </c>
    </row>
    <row r="120" spans="2:26" s="15" customFormat="1" x14ac:dyDescent="0.35">
      <c r="C120" s="15" t="s">
        <v>8</v>
      </c>
      <c r="D120" s="15" t="s">
        <v>183</v>
      </c>
      <c r="E120" s="36" t="s">
        <v>183</v>
      </c>
      <c r="F120" s="36"/>
      <c r="H120" s="36" t="s">
        <v>641</v>
      </c>
      <c r="I120" s="35">
        <v>1</v>
      </c>
      <c r="J120" s="15" t="s">
        <v>65</v>
      </c>
      <c r="K120" s="34" t="s">
        <v>628</v>
      </c>
      <c r="L120" s="34">
        <v>2015</v>
      </c>
      <c r="M120" s="15" t="s">
        <v>23</v>
      </c>
      <c r="O120" s="98"/>
      <c r="P120" s="24">
        <v>7</v>
      </c>
      <c r="Q120" s="32">
        <v>4752</v>
      </c>
      <c r="R120" s="98">
        <v>1</v>
      </c>
      <c r="S120" s="24">
        <v>7</v>
      </c>
      <c r="T120" s="32">
        <v>4752</v>
      </c>
      <c r="U120" s="78" t="s">
        <v>460</v>
      </c>
      <c r="V120" s="83"/>
      <c r="W120" s="83"/>
      <c r="X120" s="24">
        <f t="shared" si="5"/>
        <v>0</v>
      </c>
      <c r="Z120" s="15" t="s">
        <v>4</v>
      </c>
    </row>
    <row r="121" spans="2:26" s="15" customFormat="1" x14ac:dyDescent="0.35">
      <c r="C121" s="15" t="s">
        <v>8</v>
      </c>
      <c r="D121" s="15" t="s">
        <v>280</v>
      </c>
      <c r="E121" s="15" t="s">
        <v>151</v>
      </c>
      <c r="F121" s="15" t="s">
        <v>341</v>
      </c>
      <c r="H121" s="15" t="s">
        <v>544</v>
      </c>
      <c r="I121" s="35">
        <v>1</v>
      </c>
      <c r="J121" s="15" t="s">
        <v>65</v>
      </c>
      <c r="K121" s="34" t="s">
        <v>628</v>
      </c>
      <c r="L121" s="34"/>
      <c r="M121" s="15" t="s">
        <v>61</v>
      </c>
      <c r="P121" s="109">
        <v>1</v>
      </c>
      <c r="Q121" s="24">
        <v>600</v>
      </c>
      <c r="R121" s="123">
        <v>1</v>
      </c>
      <c r="S121" s="24">
        <v>1</v>
      </c>
      <c r="T121" s="32">
        <v>600</v>
      </c>
      <c r="U121" s="78" t="s">
        <v>460</v>
      </c>
      <c r="V121" s="83"/>
      <c r="W121" s="83"/>
      <c r="X121" s="32">
        <f t="shared" si="5"/>
        <v>0</v>
      </c>
      <c r="Z121" s="15" t="s">
        <v>4</v>
      </c>
    </row>
    <row r="122" spans="2:26" s="15" customFormat="1" x14ac:dyDescent="0.35">
      <c r="C122" s="15" t="s">
        <v>8</v>
      </c>
      <c r="D122" s="36" t="s">
        <v>286</v>
      </c>
      <c r="E122" s="15" t="s">
        <v>64</v>
      </c>
      <c r="H122" s="15" t="s">
        <v>90</v>
      </c>
      <c r="I122" s="35">
        <v>1</v>
      </c>
      <c r="J122" s="15" t="s">
        <v>455</v>
      </c>
      <c r="K122" s="34">
        <v>2015</v>
      </c>
      <c r="L122" s="34"/>
      <c r="M122" s="15" t="s">
        <v>214</v>
      </c>
      <c r="P122" s="109">
        <v>-1</v>
      </c>
      <c r="Q122" s="24">
        <v>-750</v>
      </c>
      <c r="R122" s="123">
        <v>1</v>
      </c>
      <c r="S122" s="24">
        <v>-1</v>
      </c>
      <c r="T122" s="32">
        <v>-750</v>
      </c>
      <c r="U122" s="77" t="s">
        <v>460</v>
      </c>
      <c r="V122" s="83"/>
      <c r="W122" s="83"/>
      <c r="X122" s="24">
        <f t="shared" si="5"/>
        <v>0</v>
      </c>
      <c r="Z122" s="15" t="s">
        <v>4</v>
      </c>
    </row>
    <row r="123" spans="2:26" s="15" customFormat="1" x14ac:dyDescent="0.35">
      <c r="C123" s="15" t="s">
        <v>8</v>
      </c>
      <c r="D123" s="15" t="s">
        <v>183</v>
      </c>
      <c r="E123" s="36" t="s">
        <v>183</v>
      </c>
      <c r="F123" s="36"/>
      <c r="H123" s="36" t="s">
        <v>642</v>
      </c>
      <c r="I123" s="35">
        <v>1</v>
      </c>
      <c r="J123" s="15" t="s">
        <v>455</v>
      </c>
      <c r="K123" s="34">
        <v>2016</v>
      </c>
      <c r="L123" s="34"/>
      <c r="M123" s="15" t="s">
        <v>23</v>
      </c>
      <c r="O123" s="98"/>
      <c r="P123" s="109">
        <v>-7</v>
      </c>
      <c r="Q123" s="24">
        <v>-4752</v>
      </c>
      <c r="R123" s="98">
        <v>1</v>
      </c>
      <c r="S123" s="24">
        <v>-7</v>
      </c>
      <c r="T123" s="32">
        <v>-4752</v>
      </c>
      <c r="U123" s="77" t="s">
        <v>460</v>
      </c>
      <c r="V123" s="83"/>
      <c r="W123" s="83"/>
      <c r="X123" s="24">
        <f t="shared" si="5"/>
        <v>0</v>
      </c>
      <c r="Y123" s="101"/>
      <c r="Z123" s="15" t="s">
        <v>4</v>
      </c>
    </row>
    <row r="124" spans="2:26" s="15" customFormat="1" x14ac:dyDescent="0.35">
      <c r="C124" s="15" t="s">
        <v>8</v>
      </c>
      <c r="D124" s="15" t="s">
        <v>183</v>
      </c>
      <c r="E124" s="15" t="s">
        <v>183</v>
      </c>
      <c r="H124" s="15" t="s">
        <v>320</v>
      </c>
      <c r="I124" s="35">
        <v>1</v>
      </c>
      <c r="J124" s="15" t="s">
        <v>455</v>
      </c>
      <c r="K124" s="34">
        <v>2021</v>
      </c>
      <c r="L124" s="34"/>
      <c r="M124" s="15" t="s">
        <v>23</v>
      </c>
      <c r="O124" s="98" t="s">
        <v>467</v>
      </c>
      <c r="P124" s="15">
        <v>-12</v>
      </c>
      <c r="Q124" s="24">
        <v>-21000</v>
      </c>
      <c r="R124" s="98">
        <v>0.5</v>
      </c>
      <c r="S124" s="24">
        <v>-6</v>
      </c>
      <c r="T124" s="32">
        <v>-10500</v>
      </c>
      <c r="U124" s="78" t="s">
        <v>461</v>
      </c>
      <c r="V124" s="83"/>
      <c r="W124" s="83"/>
      <c r="X124" s="24">
        <f t="shared" si="5"/>
        <v>0</v>
      </c>
      <c r="Y124" s="15" t="s">
        <v>107</v>
      </c>
      <c r="Z124" s="15" t="s">
        <v>4</v>
      </c>
    </row>
    <row r="125" spans="2:26" s="15" customFormat="1" x14ac:dyDescent="0.35">
      <c r="C125" s="15" t="s">
        <v>8</v>
      </c>
      <c r="D125" s="15" t="s">
        <v>278</v>
      </c>
      <c r="E125" s="36" t="s">
        <v>145</v>
      </c>
      <c r="F125" s="36"/>
      <c r="H125" s="36" t="s">
        <v>643</v>
      </c>
      <c r="I125" s="35">
        <v>1</v>
      </c>
      <c r="J125" s="15" t="s">
        <v>65</v>
      </c>
      <c r="K125" s="34">
        <v>2021</v>
      </c>
      <c r="L125" s="102"/>
      <c r="M125" s="49" t="s">
        <v>495</v>
      </c>
      <c r="N125" s="49" t="s">
        <v>496</v>
      </c>
      <c r="P125" s="15">
        <v>1</v>
      </c>
      <c r="Q125" s="24">
        <v>6000</v>
      </c>
      <c r="R125" s="98">
        <v>1</v>
      </c>
      <c r="S125" s="24">
        <v>1</v>
      </c>
      <c r="T125" s="32">
        <v>6000</v>
      </c>
      <c r="U125" s="77" t="s">
        <v>460</v>
      </c>
      <c r="V125" s="83"/>
      <c r="W125" s="83"/>
      <c r="X125" s="24">
        <f t="shared" si="5"/>
        <v>0</v>
      </c>
      <c r="Z125" s="15" t="s">
        <v>4</v>
      </c>
    </row>
    <row r="126" spans="2:26" s="15" customFormat="1" x14ac:dyDescent="0.35">
      <c r="I126" s="35"/>
      <c r="K126" s="34"/>
      <c r="L126" s="34"/>
      <c r="Q126" s="24"/>
      <c r="S126" s="24"/>
      <c r="T126" s="32"/>
      <c r="U126" s="77"/>
      <c r="V126" s="83"/>
      <c r="W126" s="83"/>
      <c r="X126" s="24">
        <f t="shared" si="5"/>
        <v>0</v>
      </c>
    </row>
    <row r="127" spans="2:26" s="15" customFormat="1" x14ac:dyDescent="0.35">
      <c r="I127" s="35"/>
      <c r="K127" s="34"/>
      <c r="L127" s="34"/>
      <c r="Q127" s="24"/>
      <c r="S127" s="24"/>
      <c r="T127" s="32"/>
      <c r="U127" s="77"/>
      <c r="V127" s="83"/>
      <c r="W127" s="83"/>
      <c r="X127" s="24">
        <f t="shared" si="5"/>
        <v>0</v>
      </c>
    </row>
    <row r="128" spans="2:26" s="15" customFormat="1" x14ac:dyDescent="0.35">
      <c r="I128" s="35"/>
      <c r="K128" s="34"/>
      <c r="L128" s="34"/>
      <c r="Q128" s="24"/>
      <c r="S128" s="24"/>
      <c r="T128" s="32"/>
      <c r="U128" s="77"/>
      <c r="V128" s="83"/>
      <c r="W128" s="83"/>
      <c r="X128" s="24">
        <f t="shared" si="5"/>
        <v>0</v>
      </c>
    </row>
    <row r="129" spans="9:24" s="6" customFormat="1" x14ac:dyDescent="0.35">
      <c r="I129" s="19"/>
      <c r="K129" s="25"/>
      <c r="L129" s="25"/>
      <c r="Q129" s="14"/>
      <c r="S129" s="14"/>
      <c r="T129" s="8"/>
      <c r="U129" s="77"/>
      <c r="V129" s="83"/>
      <c r="W129" s="83"/>
      <c r="X129" s="24">
        <f t="shared" si="5"/>
        <v>0</v>
      </c>
    </row>
    <row r="130" spans="9:24" s="6" customFormat="1" x14ac:dyDescent="0.35">
      <c r="I130" s="19"/>
      <c r="K130" s="25"/>
      <c r="L130" s="25"/>
      <c r="Q130" s="14"/>
      <c r="S130" s="14"/>
      <c r="T130" s="8"/>
      <c r="U130" s="77"/>
      <c r="V130" s="83"/>
      <c r="W130" s="83"/>
      <c r="X130" s="24">
        <f t="shared" si="5"/>
        <v>0</v>
      </c>
    </row>
    <row r="131" spans="9:24" s="6" customFormat="1" x14ac:dyDescent="0.35">
      <c r="I131" s="19"/>
      <c r="K131" s="25"/>
      <c r="L131" s="25"/>
      <c r="Q131" s="14"/>
      <c r="S131" s="14"/>
      <c r="T131" s="8"/>
      <c r="U131" s="77"/>
      <c r="V131" s="83"/>
      <c r="W131" s="83"/>
      <c r="X131" s="24">
        <f t="shared" si="5"/>
        <v>0</v>
      </c>
    </row>
    <row r="132" spans="9:24" s="6" customFormat="1" x14ac:dyDescent="0.35">
      <c r="I132" s="19"/>
      <c r="K132" s="25"/>
      <c r="L132" s="25"/>
      <c r="Q132" s="14"/>
      <c r="S132" s="14"/>
      <c r="T132" s="8"/>
      <c r="U132" s="77"/>
      <c r="V132" s="83"/>
      <c r="W132" s="83"/>
      <c r="X132" s="24">
        <f t="shared" si="5"/>
        <v>0</v>
      </c>
    </row>
    <row r="133" spans="9:24" s="6" customFormat="1" x14ac:dyDescent="0.35">
      <c r="I133" s="19"/>
      <c r="K133" s="25"/>
      <c r="L133" s="25"/>
      <c r="Q133" s="14"/>
      <c r="S133" s="14"/>
      <c r="T133" s="8"/>
      <c r="U133" s="77"/>
      <c r="V133" s="83"/>
      <c r="W133" s="83"/>
      <c r="X133" s="24">
        <f t="shared" si="5"/>
        <v>0</v>
      </c>
    </row>
    <row r="134" spans="9:24" s="6" customFormat="1" x14ac:dyDescent="0.35">
      <c r="I134" s="19"/>
      <c r="K134" s="25"/>
      <c r="L134" s="25"/>
      <c r="Q134" s="14"/>
      <c r="S134" s="14"/>
      <c r="T134" s="8"/>
      <c r="U134" s="77"/>
      <c r="V134" s="83"/>
      <c r="W134" s="83"/>
      <c r="X134" s="24">
        <f t="shared" si="5"/>
        <v>0</v>
      </c>
    </row>
    <row r="135" spans="9:24" s="6" customFormat="1" x14ac:dyDescent="0.35">
      <c r="I135" s="19"/>
      <c r="K135" s="25"/>
      <c r="L135" s="25"/>
      <c r="Q135" s="14"/>
      <c r="S135" s="14"/>
      <c r="T135" s="8"/>
      <c r="U135" s="77"/>
      <c r="V135" s="83"/>
      <c r="W135" s="83"/>
      <c r="X135" s="24">
        <f t="shared" si="5"/>
        <v>0</v>
      </c>
    </row>
    <row r="136" spans="9:24" s="6" customFormat="1" x14ac:dyDescent="0.35">
      <c r="I136" s="19"/>
      <c r="K136" s="25"/>
      <c r="L136" s="25"/>
      <c r="Q136" s="14"/>
      <c r="S136" s="14"/>
      <c r="T136" s="8"/>
      <c r="U136" s="77"/>
      <c r="V136" s="83"/>
      <c r="W136" s="83"/>
      <c r="X136" s="24">
        <f t="shared" si="5"/>
        <v>0</v>
      </c>
    </row>
    <row r="137" spans="9:24" s="6" customFormat="1" x14ac:dyDescent="0.35">
      <c r="I137" s="19"/>
      <c r="K137" s="25"/>
      <c r="L137" s="25"/>
      <c r="Q137" s="14"/>
      <c r="S137" s="14"/>
      <c r="T137" s="8"/>
      <c r="U137" s="77"/>
      <c r="V137" s="83"/>
      <c r="W137" s="83"/>
      <c r="X137" s="24">
        <f t="shared" si="5"/>
        <v>0</v>
      </c>
    </row>
    <row r="138" spans="9:24" s="6" customFormat="1" x14ac:dyDescent="0.35">
      <c r="I138" s="19"/>
      <c r="K138" s="25"/>
      <c r="L138" s="25"/>
      <c r="Q138" s="14"/>
      <c r="S138" s="14"/>
      <c r="T138" s="8"/>
      <c r="U138" s="77"/>
      <c r="V138" s="83"/>
      <c r="W138" s="83"/>
      <c r="X138" s="24">
        <f t="shared" si="5"/>
        <v>0</v>
      </c>
    </row>
    <row r="139" spans="9:24" s="6" customFormat="1" x14ac:dyDescent="0.35">
      <c r="I139" s="19"/>
      <c r="K139" s="25"/>
      <c r="L139" s="25"/>
      <c r="Q139" s="14"/>
      <c r="S139" s="14"/>
      <c r="T139" s="8"/>
      <c r="U139" s="38"/>
      <c r="V139" s="81"/>
      <c r="W139" s="81"/>
      <c r="X139" s="85">
        <f t="shared" si="5"/>
        <v>0</v>
      </c>
    </row>
    <row r="140" spans="9:24" s="6" customFormat="1" x14ac:dyDescent="0.35">
      <c r="I140" s="19"/>
      <c r="K140" s="25"/>
      <c r="L140" s="25"/>
      <c r="Q140" s="14"/>
      <c r="S140" s="14"/>
      <c r="T140" s="8"/>
      <c r="U140" s="38"/>
      <c r="V140" s="81"/>
      <c r="W140" s="81"/>
      <c r="X140" s="85">
        <f t="shared" si="5"/>
        <v>0</v>
      </c>
    </row>
    <row r="141" spans="9:24" s="6" customFormat="1" x14ac:dyDescent="0.35">
      <c r="I141" s="19"/>
      <c r="K141" s="25"/>
      <c r="L141" s="25"/>
      <c r="Q141" s="14"/>
      <c r="S141" s="14"/>
      <c r="T141" s="8"/>
      <c r="U141" s="38"/>
      <c r="V141" s="81"/>
      <c r="W141" s="81"/>
      <c r="X141" s="85"/>
    </row>
    <row r="142" spans="9:24" s="6" customFormat="1" x14ac:dyDescent="0.35">
      <c r="I142" s="19"/>
      <c r="K142" s="25"/>
      <c r="L142" s="25"/>
      <c r="Q142" s="14"/>
      <c r="S142" s="14"/>
      <c r="T142" s="8"/>
      <c r="U142" s="38"/>
      <c r="V142" s="81"/>
      <c r="W142" s="81"/>
      <c r="X142" s="85"/>
    </row>
    <row r="143" spans="9:24" s="6" customFormat="1" x14ac:dyDescent="0.35">
      <c r="I143" s="19"/>
      <c r="K143" s="25"/>
      <c r="L143" s="25"/>
      <c r="Q143" s="14"/>
      <c r="S143" s="14"/>
      <c r="T143" s="8"/>
      <c r="U143" s="38"/>
      <c r="V143" s="81"/>
      <c r="W143" s="81"/>
      <c r="X143" s="85"/>
    </row>
    <row r="144" spans="9:24" s="6" customFormat="1" x14ac:dyDescent="0.35">
      <c r="I144" s="19"/>
      <c r="K144" s="25"/>
      <c r="L144" s="25"/>
      <c r="Q144" s="14"/>
      <c r="S144" s="14"/>
      <c r="T144" s="8"/>
      <c r="U144" s="38"/>
      <c r="V144" s="81"/>
      <c r="W144" s="81"/>
      <c r="X144" s="85"/>
    </row>
    <row r="145" spans="9:24" s="6" customFormat="1" x14ac:dyDescent="0.35">
      <c r="I145" s="19"/>
      <c r="K145" s="25"/>
      <c r="L145" s="25"/>
      <c r="Q145" s="14"/>
      <c r="S145" s="14"/>
      <c r="T145" s="8"/>
      <c r="U145" s="38"/>
      <c r="V145" s="81"/>
      <c r="W145" s="81"/>
      <c r="X145" s="85"/>
    </row>
    <row r="146" spans="9:24" s="6" customFormat="1" x14ac:dyDescent="0.35">
      <c r="I146" s="19"/>
      <c r="K146" s="25"/>
      <c r="L146" s="25"/>
      <c r="Q146" s="14"/>
      <c r="S146" s="14"/>
      <c r="T146" s="8"/>
      <c r="U146" s="38"/>
      <c r="V146" s="81"/>
      <c r="W146" s="81"/>
      <c r="X146" s="85"/>
    </row>
    <row r="147" spans="9:24" s="6" customFormat="1" x14ac:dyDescent="0.35">
      <c r="I147" s="19"/>
      <c r="K147" s="25"/>
      <c r="L147" s="25"/>
      <c r="Q147" s="14"/>
      <c r="S147" s="14"/>
      <c r="T147" s="8"/>
      <c r="U147" s="38"/>
      <c r="V147" s="81"/>
      <c r="W147" s="81"/>
      <c r="X147" s="85"/>
    </row>
    <row r="148" spans="9:24" s="6" customFormat="1" x14ac:dyDescent="0.35">
      <c r="I148" s="19"/>
      <c r="K148" s="25"/>
      <c r="L148" s="25"/>
      <c r="Q148" s="14"/>
      <c r="S148" s="14"/>
      <c r="T148" s="8"/>
      <c r="U148" s="38"/>
      <c r="V148" s="81"/>
      <c r="W148" s="81"/>
      <c r="X148" s="85"/>
    </row>
    <row r="149" spans="9:24" s="6" customFormat="1" x14ac:dyDescent="0.35">
      <c r="I149" s="19"/>
      <c r="K149" s="25"/>
      <c r="L149" s="25"/>
      <c r="Q149" s="14"/>
      <c r="S149" s="14"/>
      <c r="T149" s="8"/>
      <c r="U149" s="38"/>
      <c r="V149" s="81"/>
      <c r="W149" s="81"/>
      <c r="X149" s="85"/>
    </row>
    <row r="150" spans="9:24" s="6" customFormat="1" x14ac:dyDescent="0.35">
      <c r="I150" s="19"/>
      <c r="K150" s="25"/>
      <c r="L150" s="25"/>
      <c r="Q150" s="14"/>
      <c r="S150" s="14"/>
      <c r="T150" s="8"/>
      <c r="U150" s="38"/>
      <c r="V150" s="81"/>
      <c r="W150" s="81"/>
      <c r="X150" s="85"/>
    </row>
    <row r="151" spans="9:24" s="6" customFormat="1" x14ac:dyDescent="0.35">
      <c r="I151" s="19"/>
      <c r="K151" s="25"/>
      <c r="L151" s="25"/>
      <c r="Q151" s="14"/>
      <c r="S151" s="14"/>
      <c r="T151" s="8"/>
      <c r="U151" s="38"/>
      <c r="V151" s="81"/>
      <c r="W151" s="81"/>
      <c r="X151" s="85"/>
    </row>
    <row r="152" spans="9:24" s="6" customFormat="1" x14ac:dyDescent="0.35">
      <c r="I152" s="19"/>
      <c r="K152" s="25"/>
      <c r="L152" s="25"/>
      <c r="Q152" s="14"/>
      <c r="S152" s="14"/>
      <c r="T152" s="8"/>
      <c r="U152" s="38"/>
      <c r="V152" s="81"/>
      <c r="W152" s="81"/>
      <c r="X152" s="85"/>
    </row>
    <row r="153" spans="9:24" s="6" customFormat="1" x14ac:dyDescent="0.35">
      <c r="I153" s="19"/>
      <c r="K153" s="25"/>
      <c r="L153" s="25"/>
      <c r="Q153" s="14"/>
      <c r="S153" s="14"/>
      <c r="T153" s="8"/>
      <c r="U153" s="38"/>
      <c r="V153" s="81"/>
      <c r="W153" s="81"/>
      <c r="X153" s="85"/>
    </row>
    <row r="154" spans="9:24" s="6" customFormat="1" x14ac:dyDescent="0.35">
      <c r="I154" s="19"/>
      <c r="K154" s="25"/>
      <c r="L154" s="25"/>
      <c r="Q154" s="14"/>
      <c r="S154" s="14"/>
      <c r="T154" s="8"/>
      <c r="U154" s="38"/>
      <c r="V154" s="81"/>
      <c r="W154" s="81"/>
      <c r="X154" s="85"/>
    </row>
    <row r="155" spans="9:24" s="6" customFormat="1" x14ac:dyDescent="0.35">
      <c r="I155" s="19"/>
      <c r="K155" s="25"/>
      <c r="L155" s="25"/>
      <c r="Q155" s="14"/>
      <c r="S155" s="14"/>
      <c r="T155" s="8"/>
      <c r="U155" s="38"/>
      <c r="V155" s="81"/>
      <c r="W155" s="81"/>
      <c r="X155" s="85"/>
    </row>
    <row r="156" spans="9:24" s="6" customFormat="1" x14ac:dyDescent="0.35">
      <c r="I156" s="19"/>
      <c r="K156" s="25"/>
      <c r="L156" s="25"/>
      <c r="Q156" s="14"/>
      <c r="S156" s="14"/>
      <c r="T156" s="8"/>
      <c r="U156" s="38"/>
      <c r="V156" s="81"/>
      <c r="W156" s="81"/>
      <c r="X156" s="85"/>
    </row>
    <row r="157" spans="9:24" s="6" customFormat="1" x14ac:dyDescent="0.35">
      <c r="I157" s="19"/>
      <c r="K157" s="25"/>
      <c r="L157" s="25"/>
      <c r="Q157" s="14"/>
      <c r="S157" s="14"/>
      <c r="T157" s="8"/>
      <c r="U157" s="38"/>
      <c r="V157" s="81"/>
      <c r="W157" s="81"/>
      <c r="X157" s="85"/>
    </row>
    <row r="158" spans="9:24" s="6" customFormat="1" x14ac:dyDescent="0.35">
      <c r="I158" s="19"/>
      <c r="K158" s="25"/>
      <c r="L158" s="25"/>
      <c r="Q158" s="14"/>
      <c r="S158" s="14"/>
      <c r="T158" s="8"/>
      <c r="U158" s="38"/>
      <c r="V158" s="81"/>
      <c r="W158" s="81"/>
      <c r="X158" s="85"/>
    </row>
    <row r="159" spans="9:24" s="6" customFormat="1" x14ac:dyDescent="0.35">
      <c r="I159" s="19"/>
      <c r="K159" s="25"/>
      <c r="L159" s="25"/>
      <c r="Q159" s="14"/>
      <c r="S159" s="14"/>
      <c r="T159" s="8"/>
      <c r="U159" s="38"/>
      <c r="V159" s="81"/>
      <c r="W159" s="81"/>
      <c r="X159" s="85"/>
    </row>
    <row r="160" spans="9:24" s="6" customFormat="1" x14ac:dyDescent="0.35">
      <c r="I160" s="19"/>
      <c r="K160" s="25"/>
      <c r="L160" s="25"/>
      <c r="Q160" s="14"/>
      <c r="S160" s="14"/>
      <c r="T160" s="8"/>
      <c r="U160" s="38"/>
      <c r="V160" s="81"/>
      <c r="W160" s="81"/>
      <c r="X160" s="85"/>
    </row>
    <row r="161" spans="9:24" s="6" customFormat="1" x14ac:dyDescent="0.35">
      <c r="I161" s="19"/>
      <c r="K161" s="25"/>
      <c r="L161" s="25"/>
      <c r="Q161" s="14"/>
      <c r="S161" s="14"/>
      <c r="T161" s="8"/>
      <c r="U161" s="38"/>
      <c r="V161" s="81"/>
      <c r="W161" s="81"/>
      <c r="X161" s="85"/>
    </row>
    <row r="162" spans="9:24" s="6" customFormat="1" x14ac:dyDescent="0.35">
      <c r="I162" s="19"/>
      <c r="K162" s="25"/>
      <c r="L162" s="25"/>
      <c r="Q162" s="14"/>
      <c r="S162" s="14"/>
      <c r="T162" s="8"/>
      <c r="U162" s="38"/>
      <c r="V162" s="81"/>
      <c r="W162" s="81"/>
      <c r="X162" s="85"/>
    </row>
    <row r="163" spans="9:24" s="6" customFormat="1" x14ac:dyDescent="0.35">
      <c r="I163" s="19"/>
      <c r="K163" s="25"/>
      <c r="L163" s="25"/>
      <c r="Q163" s="14"/>
      <c r="S163" s="14"/>
      <c r="T163" s="8"/>
      <c r="U163" s="38"/>
      <c r="V163" s="81"/>
      <c r="W163" s="81"/>
      <c r="X163" s="85"/>
    </row>
    <row r="164" spans="9:24" s="6" customFormat="1" x14ac:dyDescent="0.35">
      <c r="I164" s="19"/>
      <c r="K164" s="25"/>
      <c r="L164" s="25"/>
      <c r="Q164" s="14"/>
      <c r="S164" s="14"/>
      <c r="T164" s="8"/>
      <c r="U164" s="38"/>
      <c r="V164" s="81"/>
      <c r="W164" s="81"/>
      <c r="X164" s="85"/>
    </row>
    <row r="165" spans="9:24" s="6" customFormat="1" x14ac:dyDescent="0.35">
      <c r="I165" s="19"/>
      <c r="K165" s="25"/>
      <c r="L165" s="25"/>
      <c r="Q165" s="14"/>
      <c r="S165" s="14"/>
      <c r="T165" s="8"/>
      <c r="U165" s="38"/>
      <c r="V165" s="81"/>
      <c r="W165" s="81"/>
      <c r="X165" s="85"/>
    </row>
    <row r="166" spans="9:24" s="6" customFormat="1" x14ac:dyDescent="0.35">
      <c r="I166" s="19"/>
      <c r="K166" s="25"/>
      <c r="L166" s="25"/>
      <c r="Q166" s="14"/>
      <c r="S166" s="14"/>
      <c r="T166" s="8"/>
      <c r="U166" s="38"/>
      <c r="V166" s="81"/>
      <c r="W166" s="81"/>
      <c r="X166" s="85"/>
    </row>
    <row r="167" spans="9:24" s="6" customFormat="1" x14ac:dyDescent="0.35">
      <c r="I167" s="19"/>
      <c r="K167" s="25"/>
      <c r="L167" s="25"/>
      <c r="Q167" s="14"/>
      <c r="S167" s="14"/>
      <c r="T167" s="8"/>
      <c r="U167" s="38"/>
      <c r="V167" s="81"/>
      <c r="W167" s="81"/>
      <c r="X167" s="85"/>
    </row>
    <row r="168" spans="9:24" s="6" customFormat="1" x14ac:dyDescent="0.35">
      <c r="I168" s="19"/>
      <c r="K168" s="25"/>
      <c r="L168" s="25"/>
      <c r="Q168" s="14"/>
      <c r="S168" s="14"/>
      <c r="T168" s="8"/>
      <c r="U168" s="38"/>
      <c r="V168" s="81"/>
      <c r="W168" s="81"/>
      <c r="X168" s="85"/>
    </row>
    <row r="169" spans="9:24" s="6" customFormat="1" x14ac:dyDescent="0.35">
      <c r="I169" s="19"/>
      <c r="K169" s="25"/>
      <c r="L169" s="25"/>
      <c r="Q169" s="14"/>
      <c r="S169" s="14"/>
      <c r="T169" s="8"/>
      <c r="U169" s="38"/>
      <c r="V169" s="81"/>
      <c r="W169" s="81"/>
      <c r="X169" s="85"/>
    </row>
    <row r="170" spans="9:24" s="6" customFormat="1" x14ac:dyDescent="0.35">
      <c r="I170" s="19"/>
      <c r="K170" s="25"/>
      <c r="L170" s="25"/>
      <c r="Q170" s="14"/>
      <c r="S170" s="14"/>
      <c r="T170" s="8"/>
      <c r="U170" s="38"/>
      <c r="V170" s="81"/>
      <c r="W170" s="81"/>
      <c r="X170" s="85"/>
    </row>
    <row r="171" spans="9:24" s="6" customFormat="1" x14ac:dyDescent="0.35">
      <c r="I171" s="19"/>
      <c r="K171" s="25"/>
      <c r="L171" s="25"/>
      <c r="Q171" s="14"/>
      <c r="S171" s="14"/>
      <c r="T171" s="8"/>
      <c r="U171" s="38"/>
      <c r="V171" s="81"/>
      <c r="W171" s="81"/>
      <c r="X171" s="85"/>
    </row>
  </sheetData>
  <phoneticPr fontId="18" type="noConversion"/>
  <printOptions gridLines="1"/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X40:X41 X46 X5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9CC64-492C-4899-82ED-F86FA27D9F20}">
  <dimension ref="A1:Z90"/>
  <sheetViews>
    <sheetView zoomScale="50" zoomScaleNormal="50" workbookViewId="0">
      <selection activeCell="D6" sqref="D6"/>
    </sheetView>
  </sheetViews>
  <sheetFormatPr defaultRowHeight="14.5" x14ac:dyDescent="0.35"/>
  <cols>
    <col min="1" max="1" width="3.6328125" style="6" customWidth="1"/>
    <col min="2" max="2" width="6.81640625" customWidth="1"/>
    <col min="3" max="3" width="15.453125" customWidth="1"/>
    <col min="4" max="4" width="23" customWidth="1"/>
    <col min="5" max="5" width="16.54296875" customWidth="1"/>
    <col min="6" max="6" width="16.26953125" customWidth="1"/>
    <col min="7" max="7" width="6.81640625" customWidth="1"/>
    <col min="8" max="8" width="52.1796875" customWidth="1"/>
    <col min="9" max="9" width="5" style="3" customWidth="1"/>
    <col min="10" max="10" width="22" customWidth="1"/>
    <col min="11" max="11" width="10.81640625" style="29" customWidth="1"/>
    <col min="12" max="12" width="12.54296875" style="29" customWidth="1"/>
    <col min="13" max="13" width="34.1796875" customWidth="1"/>
    <col min="14" max="14" width="27.7265625" customWidth="1"/>
    <col min="15" max="15" width="20.54296875" customWidth="1"/>
    <col min="16" max="16" width="12.81640625" customWidth="1"/>
    <col min="17" max="17" width="13.453125" style="5" customWidth="1"/>
    <col min="18" max="18" width="16.453125" customWidth="1"/>
    <col min="19" max="19" width="14.453125" style="5" customWidth="1"/>
    <col min="20" max="20" width="15.54296875" style="4" customWidth="1"/>
    <col min="21" max="21" width="20.26953125" style="37" customWidth="1"/>
    <col min="22" max="22" width="13.1796875" style="80" customWidth="1"/>
    <col min="23" max="23" width="9.453125" style="80" customWidth="1"/>
    <col min="24" max="24" width="13.453125" style="84" customWidth="1"/>
    <col min="25" max="25" width="30" customWidth="1"/>
    <col min="26" max="26" width="13.26953125" customWidth="1"/>
  </cols>
  <sheetData>
    <row r="1" spans="1:21" ht="21" x14ac:dyDescent="0.5">
      <c r="B1" s="2"/>
      <c r="G1" s="2"/>
    </row>
    <row r="2" spans="1:21" x14ac:dyDescent="0.35">
      <c r="I2"/>
      <c r="K2"/>
      <c r="L2"/>
      <c r="Q2" s="63"/>
      <c r="R2" s="13"/>
      <c r="S2" s="48"/>
      <c r="T2" s="58"/>
      <c r="U2" s="70"/>
    </row>
    <row r="3" spans="1:21" x14ac:dyDescent="0.35">
      <c r="I3"/>
      <c r="K3"/>
      <c r="L3"/>
      <c r="Q3" s="63"/>
      <c r="R3" s="13"/>
      <c r="S3" s="48"/>
      <c r="T3" s="58"/>
      <c r="U3" s="70"/>
    </row>
    <row r="4" spans="1:21" x14ac:dyDescent="0.35">
      <c r="I4"/>
      <c r="K4"/>
      <c r="L4"/>
      <c r="Q4" s="63"/>
      <c r="R4" s="13"/>
      <c r="S4" s="48"/>
      <c r="T4" s="58"/>
      <c r="U4" s="70"/>
    </row>
    <row r="5" spans="1:21" x14ac:dyDescent="0.35">
      <c r="A5"/>
      <c r="I5"/>
      <c r="K5"/>
      <c r="L5"/>
      <c r="Q5" s="63"/>
      <c r="R5" s="13"/>
      <c r="S5" s="48"/>
      <c r="T5" s="58"/>
      <c r="U5" s="70"/>
    </row>
    <row r="6" spans="1:21" x14ac:dyDescent="0.35">
      <c r="A6"/>
      <c r="I6"/>
      <c r="K6"/>
      <c r="L6"/>
      <c r="Q6" s="63"/>
      <c r="R6" s="13"/>
      <c r="S6" s="48"/>
      <c r="T6" s="58"/>
      <c r="U6" s="70"/>
    </row>
    <row r="7" spans="1:21" x14ac:dyDescent="0.35">
      <c r="A7"/>
      <c r="I7"/>
      <c r="K7"/>
      <c r="L7"/>
      <c r="Q7" s="63"/>
      <c r="R7" s="13"/>
      <c r="S7" s="48"/>
      <c r="T7" s="58"/>
      <c r="U7" s="70"/>
    </row>
    <row r="8" spans="1:21" x14ac:dyDescent="0.35">
      <c r="A8"/>
      <c r="I8"/>
      <c r="K8"/>
      <c r="L8"/>
      <c r="Q8" s="63"/>
      <c r="R8" s="13"/>
      <c r="S8" s="48"/>
      <c r="T8" s="58"/>
      <c r="U8" s="70"/>
    </row>
    <row r="9" spans="1:21" x14ac:dyDescent="0.35">
      <c r="A9"/>
      <c r="I9"/>
      <c r="K9"/>
      <c r="L9"/>
      <c r="Q9" s="63"/>
      <c r="R9" s="13"/>
      <c r="S9" s="48"/>
      <c r="T9" s="58"/>
      <c r="U9" s="70"/>
    </row>
    <row r="10" spans="1:21" ht="23.5" x14ac:dyDescent="0.55000000000000004">
      <c r="A10"/>
      <c r="B10" s="119" t="s">
        <v>652</v>
      </c>
      <c r="C10" s="119"/>
      <c r="I10"/>
      <c r="K10"/>
      <c r="L10"/>
      <c r="Q10" s="63"/>
      <c r="R10" s="13"/>
      <c r="S10" s="48"/>
      <c r="T10" s="58"/>
      <c r="U10" s="70"/>
    </row>
    <row r="11" spans="1:21" x14ac:dyDescent="0.35">
      <c r="A11"/>
      <c r="B11" s="1" t="s">
        <v>503</v>
      </c>
      <c r="C11" s="1"/>
      <c r="I11"/>
      <c r="K11"/>
      <c r="L11"/>
      <c r="Q11" s="63"/>
      <c r="R11" s="13"/>
      <c r="S11" s="48"/>
      <c r="T11" s="58"/>
      <c r="U11" s="70"/>
    </row>
    <row r="12" spans="1:21" x14ac:dyDescent="0.35">
      <c r="A12"/>
      <c r="B12" s="120" t="s">
        <v>500</v>
      </c>
      <c r="C12" s="120"/>
      <c r="I12"/>
      <c r="K12"/>
      <c r="L12"/>
      <c r="Q12" s="63"/>
      <c r="R12" s="13"/>
      <c r="S12" s="48"/>
      <c r="T12" s="58"/>
      <c r="U12" s="70"/>
    </row>
    <row r="13" spans="1:21" x14ac:dyDescent="0.35">
      <c r="A13"/>
      <c r="C13" s="120"/>
      <c r="I13"/>
      <c r="K13"/>
      <c r="L13"/>
      <c r="U13" s="70"/>
    </row>
    <row r="14" spans="1:21" x14ac:dyDescent="0.35">
      <c r="A14"/>
      <c r="I14"/>
      <c r="J14" t="s">
        <v>504</v>
      </c>
      <c r="K14" s="3"/>
      <c r="L14"/>
      <c r="P14" s="69" t="s">
        <v>547</v>
      </c>
      <c r="Q14" s="67"/>
      <c r="R14" s="13"/>
      <c r="S14" s="68" t="s">
        <v>548</v>
      </c>
      <c r="T14" s="66"/>
      <c r="U14" s="70"/>
    </row>
    <row r="15" spans="1:21" ht="15.5" x14ac:dyDescent="0.35">
      <c r="A15"/>
      <c r="B15" s="26" t="s">
        <v>505</v>
      </c>
      <c r="I15"/>
      <c r="K15" s="3"/>
      <c r="L15"/>
      <c r="P15" s="69"/>
      <c r="Q15" s="67"/>
      <c r="R15" s="13"/>
      <c r="S15" s="68"/>
      <c r="T15" s="66"/>
      <c r="U15" s="70"/>
    </row>
    <row r="16" spans="1:21" x14ac:dyDescent="0.35">
      <c r="A16"/>
      <c r="B16" s="121" t="s">
        <v>506</v>
      </c>
      <c r="I16"/>
      <c r="K16" s="3"/>
      <c r="L16"/>
      <c r="P16" s="69"/>
      <c r="Q16" s="67"/>
      <c r="R16" s="62"/>
      <c r="S16" s="68"/>
      <c r="T16" s="66"/>
      <c r="U16" s="70"/>
    </row>
    <row r="17" spans="2:26" s="39" customFormat="1" ht="66" customHeight="1" x14ac:dyDescent="0.35">
      <c r="B17" s="39" t="s">
        <v>360</v>
      </c>
      <c r="C17" s="39" t="s">
        <v>156</v>
      </c>
      <c r="D17" s="28" t="s">
        <v>361</v>
      </c>
      <c r="E17" s="39" t="s">
        <v>155</v>
      </c>
      <c r="F17" s="39" t="s">
        <v>190</v>
      </c>
      <c r="G17" s="39" t="s">
        <v>499</v>
      </c>
      <c r="H17" s="39" t="s">
        <v>154</v>
      </c>
      <c r="I17" s="40" t="s">
        <v>198</v>
      </c>
      <c r="J17" s="41" t="s">
        <v>194</v>
      </c>
      <c r="K17" s="42" t="s">
        <v>403</v>
      </c>
      <c r="L17" s="42" t="s">
        <v>150</v>
      </c>
      <c r="M17" s="43" t="s">
        <v>213</v>
      </c>
      <c r="N17" s="43" t="s">
        <v>152</v>
      </c>
      <c r="O17" s="43" t="s">
        <v>404</v>
      </c>
      <c r="P17" s="41" t="s">
        <v>207</v>
      </c>
      <c r="Q17" s="43" t="s">
        <v>204</v>
      </c>
      <c r="R17" s="43" t="s">
        <v>206</v>
      </c>
      <c r="S17" s="57" t="s">
        <v>334</v>
      </c>
      <c r="T17" s="46" t="s">
        <v>335</v>
      </c>
      <c r="U17" s="72" t="s">
        <v>459</v>
      </c>
      <c r="V17" s="82" t="s">
        <v>465</v>
      </c>
      <c r="W17" s="82" t="s">
        <v>470</v>
      </c>
      <c r="X17" s="46" t="s">
        <v>458</v>
      </c>
      <c r="Y17" s="44" t="s">
        <v>421</v>
      </c>
      <c r="Z17" s="39" t="s">
        <v>153</v>
      </c>
    </row>
    <row r="18" spans="2:26" s="15" customFormat="1" x14ac:dyDescent="0.35">
      <c r="B18" s="6"/>
      <c r="C18" s="6" t="s">
        <v>6</v>
      </c>
      <c r="D18" s="6" t="s">
        <v>202</v>
      </c>
      <c r="E18" s="47" t="s">
        <v>292</v>
      </c>
      <c r="F18" s="47" t="s">
        <v>331</v>
      </c>
      <c r="G18" s="6"/>
      <c r="H18" s="47" t="s">
        <v>551</v>
      </c>
      <c r="I18" s="19">
        <v>3</v>
      </c>
      <c r="J18" s="6" t="s">
        <v>487</v>
      </c>
      <c r="K18" s="25">
        <v>2023</v>
      </c>
      <c r="L18" s="25"/>
      <c r="M18" s="6" t="s">
        <v>332</v>
      </c>
      <c r="N18" s="6" t="s">
        <v>333</v>
      </c>
      <c r="O18" s="6" t="s">
        <v>333</v>
      </c>
      <c r="P18" s="15">
        <v>3</v>
      </c>
      <c r="Q18" s="24">
        <v>12000</v>
      </c>
      <c r="R18" s="98">
        <v>0.5</v>
      </c>
      <c r="S18" s="99">
        <f>P18*R18</f>
        <v>1.5</v>
      </c>
      <c r="T18" s="32">
        <f>Q18*R18</f>
        <v>6000</v>
      </c>
      <c r="U18" s="77" t="s">
        <v>460</v>
      </c>
      <c r="V18" s="83"/>
      <c r="W18" s="83"/>
      <c r="X18" s="24">
        <f t="shared" ref="X18:X50" si="0">W18*Q18</f>
        <v>0</v>
      </c>
      <c r="Y18" s="6"/>
      <c r="Z18" s="11" t="s">
        <v>4</v>
      </c>
    </row>
    <row r="19" spans="2:26" s="15" customFormat="1" x14ac:dyDescent="0.35">
      <c r="C19" s="6" t="s">
        <v>6</v>
      </c>
      <c r="D19" s="15" t="s">
        <v>362</v>
      </c>
      <c r="E19" s="36" t="s">
        <v>114</v>
      </c>
      <c r="F19" s="36"/>
      <c r="H19" s="36" t="s">
        <v>570</v>
      </c>
      <c r="I19" s="35">
        <v>3</v>
      </c>
      <c r="J19" s="15" t="s">
        <v>487</v>
      </c>
      <c r="K19" s="25">
        <v>2024</v>
      </c>
      <c r="L19" s="34"/>
      <c r="M19" s="15" t="s">
        <v>592</v>
      </c>
      <c r="O19" s="15" t="s">
        <v>387</v>
      </c>
      <c r="P19" s="15">
        <v>3</v>
      </c>
      <c r="Q19" s="24">
        <f>3*3000</f>
        <v>9000</v>
      </c>
      <c r="R19" s="123">
        <v>0.66</v>
      </c>
      <c r="S19" s="24">
        <f>R19*P19</f>
        <v>1.98</v>
      </c>
      <c r="T19" s="32">
        <f>R19*Q19</f>
        <v>5940</v>
      </c>
      <c r="U19" s="77" t="s">
        <v>461</v>
      </c>
      <c r="V19" s="83">
        <v>0.33</v>
      </c>
      <c r="W19" s="83">
        <v>1</v>
      </c>
      <c r="X19" s="24">
        <f t="shared" si="0"/>
        <v>9000</v>
      </c>
      <c r="Y19" s="15" t="s">
        <v>420</v>
      </c>
      <c r="Z19" s="11" t="s">
        <v>4</v>
      </c>
    </row>
    <row r="20" spans="2:26" s="15" customFormat="1" x14ac:dyDescent="0.35">
      <c r="B20" s="6"/>
      <c r="C20" s="11" t="s">
        <v>72</v>
      </c>
      <c r="D20" s="6" t="s">
        <v>281</v>
      </c>
      <c r="E20" s="6" t="s">
        <v>189</v>
      </c>
      <c r="F20" s="6" t="s">
        <v>453</v>
      </c>
      <c r="G20" s="6"/>
      <c r="H20" s="15" t="s">
        <v>552</v>
      </c>
      <c r="I20" s="19">
        <v>3</v>
      </c>
      <c r="J20" s="6" t="s">
        <v>66</v>
      </c>
      <c r="K20" s="52">
        <v>2022</v>
      </c>
      <c r="L20" s="25"/>
      <c r="M20" s="6" t="s">
        <v>355</v>
      </c>
      <c r="N20" s="6"/>
      <c r="O20" s="6" t="s">
        <v>454</v>
      </c>
      <c r="P20" s="15">
        <v>9</v>
      </c>
      <c r="Q20" s="24">
        <v>34000</v>
      </c>
      <c r="R20" s="123">
        <v>0</v>
      </c>
      <c r="S20" s="24">
        <f>R20*P20</f>
        <v>0</v>
      </c>
      <c r="T20" s="24">
        <f>R20*Q20</f>
        <v>0</v>
      </c>
      <c r="U20" s="77" t="s">
        <v>460</v>
      </c>
      <c r="V20" s="83"/>
      <c r="W20" s="83"/>
      <c r="X20" s="24">
        <f t="shared" si="0"/>
        <v>0</v>
      </c>
      <c r="Y20" s="6" t="s">
        <v>587</v>
      </c>
      <c r="Z20" s="11" t="s">
        <v>4</v>
      </c>
    </row>
    <row r="21" spans="2:26" s="15" customFormat="1" x14ac:dyDescent="0.35">
      <c r="B21" s="11"/>
      <c r="C21" s="6" t="s">
        <v>16</v>
      </c>
      <c r="D21" s="6" t="s">
        <v>284</v>
      </c>
      <c r="E21" s="11" t="s">
        <v>115</v>
      </c>
      <c r="F21" s="11"/>
      <c r="G21" s="11"/>
      <c r="H21" s="6" t="s">
        <v>569</v>
      </c>
      <c r="I21" s="35">
        <v>3</v>
      </c>
      <c r="J21" s="15" t="s">
        <v>487</v>
      </c>
      <c r="K21" s="53">
        <v>2024</v>
      </c>
      <c r="L21" s="53"/>
      <c r="M21" s="6" t="s">
        <v>312</v>
      </c>
      <c r="N21" s="6" t="s">
        <v>311</v>
      </c>
      <c r="O21" s="6" t="s">
        <v>621</v>
      </c>
      <c r="P21" s="15">
        <v>4</v>
      </c>
      <c r="Q21" s="24">
        <f>P21*3500</f>
        <v>14000</v>
      </c>
      <c r="R21" s="98">
        <v>0.5</v>
      </c>
      <c r="S21" s="24">
        <f>R21*P21</f>
        <v>2</v>
      </c>
      <c r="T21" s="32">
        <f>R21*Q21</f>
        <v>7000</v>
      </c>
      <c r="U21" s="77"/>
      <c r="V21" s="83"/>
      <c r="W21" s="83"/>
      <c r="X21" s="24">
        <f t="shared" si="0"/>
        <v>0</v>
      </c>
      <c r="Y21" s="11"/>
      <c r="Z21" s="11" t="s">
        <v>4</v>
      </c>
    </row>
    <row r="22" spans="2:26" s="15" customFormat="1" x14ac:dyDescent="0.35">
      <c r="C22" s="15" t="s">
        <v>7</v>
      </c>
      <c r="D22" s="15" t="s">
        <v>282</v>
      </c>
      <c r="E22" s="15" t="s">
        <v>69</v>
      </c>
      <c r="H22" s="15" t="s">
        <v>299</v>
      </c>
      <c r="I22" s="35">
        <v>3</v>
      </c>
      <c r="J22" s="15" t="s">
        <v>487</v>
      </c>
      <c r="K22" s="102">
        <v>2024</v>
      </c>
      <c r="L22" s="102"/>
      <c r="M22" s="15" t="s">
        <v>396</v>
      </c>
      <c r="O22" s="15" t="s">
        <v>96</v>
      </c>
      <c r="P22" s="15">
        <v>1</v>
      </c>
      <c r="Q22" s="24">
        <v>2500</v>
      </c>
      <c r="R22" s="98">
        <v>1</v>
      </c>
      <c r="S22" s="24">
        <v>1</v>
      </c>
      <c r="T22" s="32">
        <v>2500</v>
      </c>
      <c r="U22" s="77"/>
      <c r="V22" s="83"/>
      <c r="W22" s="83"/>
      <c r="X22" s="24">
        <f t="shared" si="0"/>
        <v>0</v>
      </c>
      <c r="Z22" s="21" t="s">
        <v>622</v>
      </c>
    </row>
    <row r="23" spans="2:26" s="15" customFormat="1" x14ac:dyDescent="0.35">
      <c r="B23" s="6"/>
      <c r="C23" s="6" t="s">
        <v>14</v>
      </c>
      <c r="D23" s="6" t="s">
        <v>289</v>
      </c>
      <c r="E23" s="6" t="s">
        <v>238</v>
      </c>
      <c r="F23" s="6"/>
      <c r="G23" s="6"/>
      <c r="H23" s="6" t="s">
        <v>553</v>
      </c>
      <c r="I23" s="19">
        <v>3</v>
      </c>
      <c r="J23" s="6" t="s">
        <v>66</v>
      </c>
      <c r="K23" s="52">
        <v>2022</v>
      </c>
      <c r="L23" s="25"/>
      <c r="M23" s="6" t="s">
        <v>329</v>
      </c>
      <c r="N23" s="6"/>
      <c r="O23" s="6" t="s">
        <v>330</v>
      </c>
      <c r="P23" s="15">
        <v>3</v>
      </c>
      <c r="Q23" s="24">
        <v>13500</v>
      </c>
      <c r="R23" s="98">
        <v>0.8</v>
      </c>
      <c r="S23" s="24">
        <f>R23*P23</f>
        <v>2.4000000000000004</v>
      </c>
      <c r="T23" s="32">
        <f>R23*Q23</f>
        <v>10800</v>
      </c>
      <c r="U23" s="77" t="s">
        <v>461</v>
      </c>
      <c r="V23" s="83">
        <v>0.2</v>
      </c>
      <c r="W23" s="83">
        <v>1</v>
      </c>
      <c r="X23" s="24">
        <f t="shared" si="0"/>
        <v>13500</v>
      </c>
      <c r="Y23" s="6"/>
      <c r="Z23" s="6" t="s">
        <v>4</v>
      </c>
    </row>
    <row r="24" spans="2:26" s="15" customFormat="1" x14ac:dyDescent="0.35">
      <c r="C24" s="15" t="s">
        <v>8</v>
      </c>
      <c r="D24" s="15" t="s">
        <v>286</v>
      </c>
      <c r="E24" s="15" t="s">
        <v>313</v>
      </c>
      <c r="H24" s="15" t="s">
        <v>554</v>
      </c>
      <c r="I24" s="35">
        <v>3</v>
      </c>
      <c r="J24" s="15" t="s">
        <v>66</v>
      </c>
      <c r="K24" s="112">
        <v>2022</v>
      </c>
      <c r="L24" s="34"/>
      <c r="M24" s="15" t="s">
        <v>317</v>
      </c>
      <c r="N24" s="15" t="s">
        <v>314</v>
      </c>
      <c r="O24" s="15" t="s">
        <v>314</v>
      </c>
      <c r="P24" s="109">
        <v>6</v>
      </c>
      <c r="Q24" s="24"/>
      <c r="R24" s="98">
        <v>0</v>
      </c>
      <c r="S24" s="24" t="s">
        <v>448</v>
      </c>
      <c r="T24" s="32"/>
      <c r="U24" s="78" t="s">
        <v>460</v>
      </c>
      <c r="V24" s="83"/>
      <c r="W24" s="83"/>
      <c r="X24" s="24">
        <f t="shared" si="0"/>
        <v>0</v>
      </c>
      <c r="Z24" s="15" t="s">
        <v>4</v>
      </c>
    </row>
    <row r="25" spans="2:26" s="15" customFormat="1" x14ac:dyDescent="0.35">
      <c r="C25" s="15" t="s">
        <v>8</v>
      </c>
      <c r="D25" s="15" t="s">
        <v>286</v>
      </c>
      <c r="E25" s="15" t="s">
        <v>185</v>
      </c>
      <c r="H25" s="15" t="s">
        <v>555</v>
      </c>
      <c r="I25" s="35">
        <v>3</v>
      </c>
      <c r="J25" s="15" t="s">
        <v>66</v>
      </c>
      <c r="K25" s="112">
        <v>2023</v>
      </c>
      <c r="L25" s="34"/>
      <c r="M25" s="15" t="s">
        <v>556</v>
      </c>
      <c r="P25" s="24">
        <v>2</v>
      </c>
      <c r="Q25" s="24">
        <f>2*3600</f>
        <v>7200</v>
      </c>
      <c r="R25" s="98">
        <v>1</v>
      </c>
      <c r="S25" s="24">
        <f>R25*P25</f>
        <v>2</v>
      </c>
      <c r="T25" s="32">
        <f>R25*Q25</f>
        <v>7200</v>
      </c>
      <c r="U25" s="77" t="s">
        <v>460</v>
      </c>
      <c r="V25" s="83"/>
      <c r="W25" s="83"/>
      <c r="X25" s="24">
        <f t="shared" si="0"/>
        <v>0</v>
      </c>
      <c r="Y25" s="15" t="s">
        <v>422</v>
      </c>
      <c r="Z25" s="15" t="s">
        <v>4</v>
      </c>
    </row>
    <row r="26" spans="2:26" s="15" customFormat="1" x14ac:dyDescent="0.35">
      <c r="C26" s="15" t="s">
        <v>8</v>
      </c>
      <c r="D26" s="15" t="s">
        <v>275</v>
      </c>
      <c r="E26" s="15" t="s">
        <v>295</v>
      </c>
      <c r="H26" s="15" t="s">
        <v>557</v>
      </c>
      <c r="I26" s="35">
        <v>3</v>
      </c>
      <c r="J26" s="15" t="s">
        <v>487</v>
      </c>
      <c r="K26" s="112">
        <v>2023</v>
      </c>
      <c r="L26" s="34"/>
      <c r="M26" s="15" t="s">
        <v>296</v>
      </c>
      <c r="O26" s="15" t="s">
        <v>462</v>
      </c>
      <c r="P26" s="113">
        <v>2</v>
      </c>
      <c r="Q26" s="24">
        <f>2*3750</f>
        <v>7500</v>
      </c>
      <c r="R26" s="98">
        <v>0.5</v>
      </c>
      <c r="S26" s="24">
        <f>P26*R26</f>
        <v>1</v>
      </c>
      <c r="T26" s="32">
        <f>Q26*R26</f>
        <v>3750</v>
      </c>
      <c r="U26" s="77" t="s">
        <v>460</v>
      </c>
      <c r="V26" s="83"/>
      <c r="W26" s="83"/>
      <c r="X26" s="24">
        <f t="shared" si="0"/>
        <v>0</v>
      </c>
      <c r="Y26" s="15" t="s">
        <v>424</v>
      </c>
      <c r="Z26" s="15" t="s">
        <v>4</v>
      </c>
    </row>
    <row r="27" spans="2:26" s="15" customFormat="1" x14ac:dyDescent="0.35">
      <c r="C27" s="15" t="s">
        <v>8</v>
      </c>
      <c r="D27" s="15" t="s">
        <v>286</v>
      </c>
      <c r="E27" s="15" t="s">
        <v>127</v>
      </c>
      <c r="H27" s="15" t="s">
        <v>558</v>
      </c>
      <c r="I27" s="35">
        <v>3</v>
      </c>
      <c r="J27" s="15" t="s">
        <v>487</v>
      </c>
      <c r="K27" s="34">
        <v>2024</v>
      </c>
      <c r="L27" s="102"/>
      <c r="M27" s="15" t="s">
        <v>449</v>
      </c>
      <c r="O27" s="15" t="s">
        <v>386</v>
      </c>
      <c r="P27" s="35">
        <v>3</v>
      </c>
      <c r="Q27" s="24">
        <f>3*4000</f>
        <v>12000</v>
      </c>
      <c r="R27" s="98">
        <v>0.5</v>
      </c>
      <c r="S27" s="116">
        <f>R27*P27</f>
        <v>1.5</v>
      </c>
      <c r="T27" s="32">
        <f>R27*Q27</f>
        <v>6000</v>
      </c>
      <c r="U27" s="77" t="s">
        <v>460</v>
      </c>
      <c r="V27" s="83"/>
      <c r="W27" s="83"/>
      <c r="X27" s="24">
        <f t="shared" si="0"/>
        <v>0</v>
      </c>
      <c r="Z27" s="15" t="s">
        <v>4</v>
      </c>
    </row>
    <row r="28" spans="2:26" s="15" customFormat="1" x14ac:dyDescent="0.35">
      <c r="C28" s="15" t="s">
        <v>8</v>
      </c>
      <c r="D28" s="15" t="s">
        <v>290</v>
      </c>
      <c r="E28" s="15" t="s">
        <v>161</v>
      </c>
      <c r="H28" s="15" t="s">
        <v>559</v>
      </c>
      <c r="I28" s="35">
        <v>3</v>
      </c>
      <c r="J28" s="15" t="s">
        <v>487</v>
      </c>
      <c r="K28" s="112">
        <v>2022</v>
      </c>
      <c r="L28" s="34"/>
      <c r="M28" s="49" t="s">
        <v>226</v>
      </c>
      <c r="N28" s="49" t="s">
        <v>227</v>
      </c>
      <c r="O28" s="15" t="s">
        <v>591</v>
      </c>
      <c r="P28" s="113">
        <v>2</v>
      </c>
      <c r="Q28" s="89">
        <f>P28*2300</f>
        <v>4600</v>
      </c>
      <c r="R28" s="98">
        <v>0.5</v>
      </c>
      <c r="S28" s="24">
        <f>R28*P28</f>
        <v>1</v>
      </c>
      <c r="T28" s="32">
        <f>R28*Q28</f>
        <v>2300</v>
      </c>
      <c r="U28" s="77" t="s">
        <v>460</v>
      </c>
      <c r="V28" s="83"/>
      <c r="W28" s="83"/>
      <c r="X28" s="24">
        <f t="shared" si="0"/>
        <v>0</v>
      </c>
      <c r="Y28" s="15" t="s">
        <v>199</v>
      </c>
      <c r="Z28" s="15" t="s">
        <v>4</v>
      </c>
    </row>
    <row r="29" spans="2:26" s="15" customFormat="1" x14ac:dyDescent="0.35">
      <c r="C29" s="15" t="s">
        <v>73</v>
      </c>
      <c r="D29" s="15" t="s">
        <v>73</v>
      </c>
      <c r="E29" s="15" t="s">
        <v>412</v>
      </c>
      <c r="H29" s="15" t="s">
        <v>560</v>
      </c>
      <c r="I29" s="35">
        <v>4</v>
      </c>
      <c r="J29" s="15" t="s">
        <v>488</v>
      </c>
      <c r="K29" s="34" t="s">
        <v>562</v>
      </c>
      <c r="L29" s="102"/>
      <c r="M29" s="15" t="s">
        <v>241</v>
      </c>
      <c r="P29" s="24">
        <v>4</v>
      </c>
      <c r="Q29" s="32">
        <f>Tabel24[[#This Row],[AANTAL WIND-TURBINES]]*4000</f>
        <v>16000</v>
      </c>
      <c r="R29" s="123">
        <v>0.5</v>
      </c>
      <c r="S29" s="24">
        <v>2</v>
      </c>
      <c r="T29" s="32">
        <f>2*8000</f>
        <v>16000</v>
      </c>
      <c r="U29" s="77"/>
      <c r="V29" s="83"/>
      <c r="W29" s="83"/>
      <c r="X29" s="24">
        <f t="shared" si="0"/>
        <v>0</v>
      </c>
      <c r="Z29" s="15" t="s">
        <v>4</v>
      </c>
    </row>
    <row r="30" spans="2:26" s="15" customFormat="1" x14ac:dyDescent="0.35">
      <c r="C30" s="15" t="s">
        <v>73</v>
      </c>
      <c r="D30" s="15" t="s">
        <v>73</v>
      </c>
      <c r="E30" s="36" t="s">
        <v>99</v>
      </c>
      <c r="F30" s="36"/>
      <c r="H30" s="36" t="s">
        <v>561</v>
      </c>
      <c r="I30" s="35">
        <v>4</v>
      </c>
      <c r="J30" s="15" t="s">
        <v>594</v>
      </c>
      <c r="K30" s="34">
        <v>2026</v>
      </c>
      <c r="L30" s="34"/>
      <c r="M30" s="15" t="s">
        <v>274</v>
      </c>
      <c r="P30" s="35">
        <v>-1</v>
      </c>
      <c r="Q30" s="24">
        <v>-850</v>
      </c>
      <c r="R30" s="132">
        <v>1</v>
      </c>
      <c r="S30" s="32">
        <v>-1</v>
      </c>
      <c r="T30" s="32">
        <v>-850</v>
      </c>
      <c r="U30" s="77"/>
      <c r="V30" s="83"/>
      <c r="W30" s="83"/>
      <c r="X30" s="24">
        <f t="shared" si="0"/>
        <v>0</v>
      </c>
      <c r="Z30" s="15" t="s">
        <v>4</v>
      </c>
    </row>
    <row r="31" spans="2:26" s="15" customFormat="1" x14ac:dyDescent="0.35">
      <c r="C31" s="15" t="s">
        <v>6</v>
      </c>
      <c r="D31" s="15" t="s">
        <v>276</v>
      </c>
      <c r="E31" s="36" t="s">
        <v>141</v>
      </c>
      <c r="F31" s="36"/>
      <c r="H31" s="36" t="s">
        <v>625</v>
      </c>
      <c r="I31" s="35">
        <v>4</v>
      </c>
      <c r="J31" s="15" t="s">
        <v>488</v>
      </c>
      <c r="K31" s="34">
        <v>2024</v>
      </c>
      <c r="L31" s="102"/>
      <c r="M31" s="15" t="s">
        <v>626</v>
      </c>
      <c r="N31" s="15" t="s">
        <v>246</v>
      </c>
      <c r="P31" s="103"/>
      <c r="Q31" s="89"/>
      <c r="R31" s="15" t="s">
        <v>11</v>
      </c>
      <c r="S31" s="24">
        <v>2</v>
      </c>
      <c r="T31" s="32">
        <f>Tabel24[[#This Row],[AANTAL WIND-TURBINES COÖPERATIEF]]*3000</f>
        <v>6000</v>
      </c>
      <c r="U31" s="78"/>
      <c r="V31" s="83"/>
      <c r="W31" s="83"/>
      <c r="X31" s="32">
        <f t="shared" si="0"/>
        <v>0</v>
      </c>
      <c r="Z31" s="15" t="s">
        <v>4</v>
      </c>
    </row>
    <row r="32" spans="2:26" s="15" customFormat="1" x14ac:dyDescent="0.35">
      <c r="C32" s="15" t="s">
        <v>6</v>
      </c>
      <c r="D32" s="15" t="s">
        <v>202</v>
      </c>
      <c r="E32" s="36" t="s">
        <v>63</v>
      </c>
      <c r="F32" s="36"/>
      <c r="H32" s="36" t="s">
        <v>401</v>
      </c>
      <c r="I32" s="35">
        <v>4</v>
      </c>
      <c r="J32" s="15" t="s">
        <v>488</v>
      </c>
      <c r="K32" s="34">
        <v>2024</v>
      </c>
      <c r="L32" s="34"/>
      <c r="M32" s="15" t="s">
        <v>304</v>
      </c>
      <c r="O32" s="15" t="s">
        <v>12</v>
      </c>
      <c r="P32" s="129">
        <v>6</v>
      </c>
      <c r="Q32" s="24">
        <f>6*4800</f>
        <v>28800</v>
      </c>
      <c r="R32" s="98">
        <v>0.5</v>
      </c>
      <c r="S32" s="24">
        <f>P32*R32</f>
        <v>3</v>
      </c>
      <c r="T32" s="32">
        <f>Q32*R32</f>
        <v>14400</v>
      </c>
      <c r="U32" s="78" t="s">
        <v>460</v>
      </c>
      <c r="V32" s="83"/>
      <c r="W32" s="83"/>
      <c r="X32" s="32">
        <f t="shared" si="0"/>
        <v>0</v>
      </c>
      <c r="Z32" s="15" t="s">
        <v>4</v>
      </c>
    </row>
    <row r="33" spans="3:26" s="15" customFormat="1" x14ac:dyDescent="0.35">
      <c r="C33" s="15" t="s">
        <v>6</v>
      </c>
      <c r="D33" s="15" t="s">
        <v>276</v>
      </c>
      <c r="E33" s="36" t="s">
        <v>293</v>
      </c>
      <c r="F33" s="36"/>
      <c r="H33" s="36" t="s">
        <v>415</v>
      </c>
      <c r="I33" s="35">
        <v>4</v>
      </c>
      <c r="J33" s="15" t="s">
        <v>28</v>
      </c>
      <c r="K33" s="34">
        <v>2025</v>
      </c>
      <c r="L33" s="34"/>
      <c r="M33" s="15" t="s">
        <v>417</v>
      </c>
      <c r="O33" s="15" t="s">
        <v>416</v>
      </c>
      <c r="P33" s="109">
        <v>5</v>
      </c>
      <c r="Q33" s="24">
        <f>5*5000</f>
        <v>25000</v>
      </c>
      <c r="R33" s="98">
        <v>0.5</v>
      </c>
      <c r="S33" s="24">
        <f>Tabel24[[#This Row],[COÖPERATIEF -%]]*Tabel24[[#This Row],[AANTAL WIND-TURBINES]]</f>
        <v>2.5</v>
      </c>
      <c r="T33" s="32">
        <f>Tabel24[[#This Row],[COÖPERATIEF -%]]*Tabel24[[#This Row],[VERMOGEN (KW)]]</f>
        <v>12500</v>
      </c>
      <c r="U33" s="78" t="s">
        <v>460</v>
      </c>
      <c r="V33" s="83"/>
      <c r="W33" s="83"/>
      <c r="X33" s="24">
        <f t="shared" si="0"/>
        <v>0</v>
      </c>
      <c r="Z33" s="15" t="s">
        <v>4</v>
      </c>
    </row>
    <row r="34" spans="3:26" s="15" customFormat="1" x14ac:dyDescent="0.35">
      <c r="C34" s="15" t="s">
        <v>1</v>
      </c>
      <c r="D34" s="15" t="s">
        <v>1</v>
      </c>
      <c r="E34" s="36" t="s">
        <v>298</v>
      </c>
      <c r="F34" s="36"/>
      <c r="H34" s="36" t="s">
        <v>624</v>
      </c>
      <c r="I34" s="35">
        <v>4</v>
      </c>
      <c r="J34" s="15" t="s">
        <v>28</v>
      </c>
      <c r="K34" s="34">
        <v>2023</v>
      </c>
      <c r="L34" s="34"/>
      <c r="M34" s="15" t="s">
        <v>445</v>
      </c>
      <c r="O34" s="15" t="s">
        <v>494</v>
      </c>
      <c r="P34" s="15">
        <v>21</v>
      </c>
      <c r="Q34" s="24"/>
      <c r="R34" s="98">
        <v>0</v>
      </c>
      <c r="S34" s="89" t="s">
        <v>493</v>
      </c>
      <c r="T34" s="32"/>
      <c r="U34" s="77"/>
      <c r="V34" s="83"/>
      <c r="W34" s="83"/>
      <c r="X34" s="24">
        <f t="shared" si="0"/>
        <v>0</v>
      </c>
      <c r="Y34" s="15" t="s">
        <v>623</v>
      </c>
      <c r="Z34" s="15" t="s">
        <v>4</v>
      </c>
    </row>
    <row r="35" spans="3:26" s="15" customFormat="1" x14ac:dyDescent="0.35">
      <c r="C35" s="15" t="s">
        <v>1</v>
      </c>
      <c r="D35" s="15" t="s">
        <v>1</v>
      </c>
      <c r="E35" s="36" t="s">
        <v>298</v>
      </c>
      <c r="F35" s="36"/>
      <c r="H35" s="15" t="s">
        <v>564</v>
      </c>
      <c r="I35" s="35">
        <v>4</v>
      </c>
      <c r="J35" s="15" t="s">
        <v>28</v>
      </c>
      <c r="K35" s="34">
        <v>2024</v>
      </c>
      <c r="L35" s="34"/>
      <c r="M35" s="15" t="s">
        <v>445</v>
      </c>
      <c r="O35" s="15" t="s">
        <v>620</v>
      </c>
      <c r="Q35" s="91"/>
      <c r="S35" s="24">
        <v>2</v>
      </c>
      <c r="T35" s="32">
        <v>6000</v>
      </c>
      <c r="U35" s="77"/>
      <c r="V35" s="83"/>
      <c r="W35" s="83"/>
      <c r="X35" s="24">
        <f t="shared" si="0"/>
        <v>0</v>
      </c>
      <c r="Z35" s="15" t="s">
        <v>4</v>
      </c>
    </row>
    <row r="36" spans="3:26" s="15" customFormat="1" x14ac:dyDescent="0.35">
      <c r="C36" s="15" t="s">
        <v>16</v>
      </c>
      <c r="D36" s="15" t="s">
        <v>279</v>
      </c>
      <c r="E36" s="36" t="s">
        <v>165</v>
      </c>
      <c r="F36" s="36"/>
      <c r="H36" s="36" t="s">
        <v>563</v>
      </c>
      <c r="I36" s="35">
        <v>4</v>
      </c>
      <c r="J36" s="15" t="s">
        <v>28</v>
      </c>
      <c r="K36" s="34">
        <v>2025</v>
      </c>
      <c r="L36" s="34"/>
      <c r="M36" s="15" t="s">
        <v>231</v>
      </c>
      <c r="O36" s="15" t="s">
        <v>446</v>
      </c>
      <c r="P36" s="15">
        <v>5</v>
      </c>
      <c r="Q36" s="24">
        <f>5*4500</f>
        <v>22500</v>
      </c>
      <c r="R36" s="15" t="s">
        <v>11</v>
      </c>
      <c r="S36" s="24"/>
      <c r="T36" s="32"/>
      <c r="U36" s="77"/>
      <c r="V36" s="83"/>
      <c r="W36" s="83"/>
      <c r="X36" s="24">
        <f t="shared" si="0"/>
        <v>0</v>
      </c>
      <c r="Z36" s="15" t="s">
        <v>4</v>
      </c>
    </row>
    <row r="37" spans="3:26" s="15" customFormat="1" x14ac:dyDescent="0.35">
      <c r="C37" s="15" t="s">
        <v>7</v>
      </c>
      <c r="D37" s="15" t="s">
        <v>283</v>
      </c>
      <c r="E37" s="36" t="s">
        <v>365</v>
      </c>
      <c r="F37" s="36" t="s">
        <v>100</v>
      </c>
      <c r="H37" s="36" t="s">
        <v>565</v>
      </c>
      <c r="I37" s="35">
        <v>4</v>
      </c>
      <c r="J37" s="15" t="s">
        <v>28</v>
      </c>
      <c r="K37" s="34">
        <v>2024</v>
      </c>
      <c r="L37" s="34"/>
      <c r="M37" s="15" t="s">
        <v>301</v>
      </c>
      <c r="P37" s="15">
        <v>1</v>
      </c>
      <c r="Q37" s="24">
        <v>3000</v>
      </c>
      <c r="R37" s="123">
        <v>1</v>
      </c>
      <c r="S37" s="24"/>
      <c r="T37" s="32"/>
      <c r="U37" s="78"/>
      <c r="V37" s="83"/>
      <c r="W37" s="83"/>
      <c r="X37" s="32">
        <f t="shared" si="0"/>
        <v>0</v>
      </c>
      <c r="Z37" s="15" t="s">
        <v>4</v>
      </c>
    </row>
    <row r="38" spans="3:26" s="15" customFormat="1" x14ac:dyDescent="0.35">
      <c r="C38" s="15" t="s">
        <v>7</v>
      </c>
      <c r="D38" s="15" t="s">
        <v>282</v>
      </c>
      <c r="E38" s="101" t="s">
        <v>53</v>
      </c>
      <c r="H38" s="15" t="s">
        <v>452</v>
      </c>
      <c r="I38" s="35">
        <v>4</v>
      </c>
      <c r="J38" s="15" t="s">
        <v>594</v>
      </c>
      <c r="K38" s="112" t="s">
        <v>562</v>
      </c>
      <c r="L38" s="34"/>
      <c r="M38" s="15" t="s">
        <v>57</v>
      </c>
      <c r="Q38" s="24"/>
      <c r="R38" s="108" t="s">
        <v>11</v>
      </c>
      <c r="S38" s="24" t="s">
        <v>11</v>
      </c>
      <c r="T38" s="32"/>
      <c r="U38" s="77" t="s">
        <v>460</v>
      </c>
      <c r="V38" s="83"/>
      <c r="W38" s="83"/>
      <c r="X38" s="24">
        <f t="shared" si="0"/>
        <v>0</v>
      </c>
      <c r="Z38" s="15" t="s">
        <v>4</v>
      </c>
    </row>
    <row r="39" spans="3:26" s="15" customFormat="1" x14ac:dyDescent="0.35">
      <c r="C39" s="15" t="s">
        <v>7</v>
      </c>
      <c r="D39" s="36" t="s">
        <v>283</v>
      </c>
      <c r="E39" s="36" t="s">
        <v>5</v>
      </c>
      <c r="F39" s="36"/>
      <c r="H39" s="36" t="s">
        <v>382</v>
      </c>
      <c r="I39" s="35">
        <v>4</v>
      </c>
      <c r="J39" s="15" t="s">
        <v>28</v>
      </c>
      <c r="K39" s="34">
        <v>2025</v>
      </c>
      <c r="L39" s="34"/>
      <c r="M39" s="15" t="s">
        <v>381</v>
      </c>
      <c r="P39" s="113">
        <v>5</v>
      </c>
      <c r="Q39" s="24">
        <f>Tabel24[[#This Row],[AANTAL WIND-TURBINES]]*4000</f>
        <v>20000</v>
      </c>
      <c r="R39" s="98">
        <v>1</v>
      </c>
      <c r="S39" s="24">
        <v>5</v>
      </c>
      <c r="T39" s="32">
        <f>S39*2000</f>
        <v>10000</v>
      </c>
      <c r="U39" s="77"/>
      <c r="V39" s="83"/>
      <c r="W39" s="83"/>
      <c r="X39" s="24">
        <f t="shared" si="0"/>
        <v>0</v>
      </c>
      <c r="Z39" s="15" t="s">
        <v>4</v>
      </c>
    </row>
    <row r="40" spans="3:26" s="15" customFormat="1" x14ac:dyDescent="0.35">
      <c r="C40" s="15" t="s">
        <v>7</v>
      </c>
      <c r="D40" s="15" t="s">
        <v>283</v>
      </c>
      <c r="E40" s="36" t="s">
        <v>5</v>
      </c>
      <c r="F40" s="36"/>
      <c r="H40" s="36" t="s">
        <v>413</v>
      </c>
      <c r="I40" s="35">
        <v>4</v>
      </c>
      <c r="J40" s="15" t="s">
        <v>28</v>
      </c>
      <c r="K40" s="34">
        <v>2025</v>
      </c>
      <c r="L40" s="34"/>
      <c r="M40" s="15" t="s">
        <v>381</v>
      </c>
      <c r="P40" s="113" t="s">
        <v>414</v>
      </c>
      <c r="Q40" s="24"/>
      <c r="R40" s="98">
        <v>1</v>
      </c>
      <c r="S40" s="24"/>
      <c r="T40" s="95"/>
      <c r="U40" s="77"/>
      <c r="V40" s="83"/>
      <c r="W40" s="83"/>
      <c r="X40" s="24">
        <f t="shared" si="0"/>
        <v>0</v>
      </c>
      <c r="Z40" s="15" t="s">
        <v>4</v>
      </c>
    </row>
    <row r="41" spans="3:26" s="15" customFormat="1" x14ac:dyDescent="0.35">
      <c r="C41" s="15" t="s">
        <v>14</v>
      </c>
      <c r="D41" s="15" t="s">
        <v>287</v>
      </c>
      <c r="E41" s="36" t="s">
        <v>140</v>
      </c>
      <c r="F41" s="36" t="s">
        <v>208</v>
      </c>
      <c r="H41" s="36" t="s">
        <v>566</v>
      </c>
      <c r="I41" s="35">
        <v>4</v>
      </c>
      <c r="J41" s="15" t="s">
        <v>488</v>
      </c>
      <c r="K41" s="34">
        <v>2023</v>
      </c>
      <c r="L41" s="34"/>
      <c r="M41" s="15" t="s">
        <v>291</v>
      </c>
      <c r="N41" s="15" t="s">
        <v>149</v>
      </c>
      <c r="O41" s="15" t="s">
        <v>205</v>
      </c>
      <c r="P41" s="15">
        <v>2</v>
      </c>
      <c r="Q41" s="24">
        <f>P41*4000</f>
        <v>8000</v>
      </c>
      <c r="R41" s="98">
        <v>0.5</v>
      </c>
      <c r="S41" s="24">
        <f>R41*P41</f>
        <v>1</v>
      </c>
      <c r="T41" s="32">
        <f>R41*Q41</f>
        <v>4000</v>
      </c>
      <c r="U41" s="77" t="s">
        <v>461</v>
      </c>
      <c r="V41" s="83">
        <v>0.5</v>
      </c>
      <c r="W41" s="83"/>
      <c r="X41" s="24">
        <f t="shared" si="0"/>
        <v>0</v>
      </c>
      <c r="Z41" s="15" t="s">
        <v>4</v>
      </c>
    </row>
    <row r="42" spans="3:26" s="15" customFormat="1" x14ac:dyDescent="0.35">
      <c r="C42" s="15" t="s">
        <v>20</v>
      </c>
      <c r="D42" s="15" t="s">
        <v>285</v>
      </c>
      <c r="E42" s="15" t="s">
        <v>21</v>
      </c>
      <c r="H42" s="15" t="s">
        <v>485</v>
      </c>
      <c r="I42" s="35">
        <v>4</v>
      </c>
      <c r="J42" s="15" t="s">
        <v>28</v>
      </c>
      <c r="K42" s="34">
        <v>2023</v>
      </c>
      <c r="L42" s="34"/>
      <c r="M42" s="15" t="s">
        <v>486</v>
      </c>
      <c r="P42" s="110">
        <v>2</v>
      </c>
      <c r="Q42" s="24">
        <v>5000</v>
      </c>
      <c r="R42" s="98">
        <v>1</v>
      </c>
      <c r="S42" s="24">
        <v>2</v>
      </c>
      <c r="T42" s="32">
        <v>5000</v>
      </c>
      <c r="U42" s="77"/>
      <c r="V42" s="83"/>
      <c r="W42" s="83"/>
      <c r="X42" s="24">
        <f t="shared" si="0"/>
        <v>0</v>
      </c>
      <c r="Z42" s="15" t="s">
        <v>4</v>
      </c>
    </row>
    <row r="43" spans="3:26" s="15" customFormat="1" x14ac:dyDescent="0.35">
      <c r="C43" s="15" t="s">
        <v>20</v>
      </c>
      <c r="D43" s="36" t="s">
        <v>456</v>
      </c>
      <c r="E43" s="36" t="s">
        <v>20</v>
      </c>
      <c r="F43" s="36"/>
      <c r="H43" s="36" t="s">
        <v>618</v>
      </c>
      <c r="I43" s="35">
        <v>4</v>
      </c>
      <c r="J43" s="15" t="s">
        <v>28</v>
      </c>
      <c r="K43" s="34" t="s">
        <v>562</v>
      </c>
      <c r="L43" s="34"/>
      <c r="M43" s="15" t="s">
        <v>423</v>
      </c>
      <c r="O43" s="15" t="s">
        <v>588</v>
      </c>
      <c r="P43" s="110">
        <v>4</v>
      </c>
      <c r="Q43" s="24">
        <f>4*4500</f>
        <v>18000</v>
      </c>
      <c r="R43" s="98">
        <v>0.5</v>
      </c>
      <c r="S43" s="24">
        <f>Tabel24[[#This Row],[COÖPERATIEF -%]]*Tabel24[[#This Row],[AANTAL WIND-TURBINES]]</f>
        <v>2</v>
      </c>
      <c r="T43" s="32">
        <f>Tabel24[[#This Row],[COÖPERATIEF -%]]*Tabel24[[#This Row],[VERMOGEN (KW)]]</f>
        <v>9000</v>
      </c>
      <c r="U43" s="77" t="s">
        <v>460</v>
      </c>
      <c r="V43" s="83"/>
      <c r="W43" s="83"/>
      <c r="X43" s="24">
        <f t="shared" si="0"/>
        <v>0</v>
      </c>
      <c r="Y43" s="15" t="s">
        <v>651</v>
      </c>
      <c r="Z43" s="15" t="s">
        <v>4</v>
      </c>
    </row>
    <row r="44" spans="3:26" s="15" customFormat="1" x14ac:dyDescent="0.35">
      <c r="C44" s="15" t="s">
        <v>20</v>
      </c>
      <c r="D44" s="36" t="s">
        <v>456</v>
      </c>
      <c r="E44" s="36" t="s">
        <v>181</v>
      </c>
      <c r="F44" s="36"/>
      <c r="H44" s="36" t="s">
        <v>409</v>
      </c>
      <c r="I44" s="35">
        <v>4</v>
      </c>
      <c r="J44" s="15" t="s">
        <v>28</v>
      </c>
      <c r="K44" s="112">
        <v>2027</v>
      </c>
      <c r="L44" s="34"/>
      <c r="M44" s="15" t="s">
        <v>410</v>
      </c>
      <c r="O44" s="15" t="s">
        <v>411</v>
      </c>
      <c r="P44" s="15">
        <v>2</v>
      </c>
      <c r="Q44" s="24">
        <f>2*5400</f>
        <v>10800</v>
      </c>
      <c r="R44" s="98">
        <v>0.5</v>
      </c>
      <c r="S44" s="24">
        <f>Tabel24[[#This Row],[AANTAL WIND-TURBINES]]*Tabel24[[#This Row],[COÖPERATIEF -%]]</f>
        <v>1</v>
      </c>
      <c r="T44" s="32">
        <f>Tabel24[[#This Row],[VERMOGEN (KW)]]*Tabel24[[#This Row],[COÖPERATIEF -%]]</f>
        <v>5400</v>
      </c>
      <c r="U44" s="77" t="s">
        <v>460</v>
      </c>
      <c r="V44" s="83"/>
      <c r="W44" s="83"/>
      <c r="X44" s="24">
        <f t="shared" si="0"/>
        <v>0</v>
      </c>
      <c r="Z44" s="15" t="s">
        <v>4</v>
      </c>
    </row>
    <row r="45" spans="3:26" s="15" customFormat="1" x14ac:dyDescent="0.35">
      <c r="C45" s="15" t="s">
        <v>20</v>
      </c>
      <c r="D45" s="36" t="s">
        <v>456</v>
      </c>
      <c r="E45" s="36" t="s">
        <v>243</v>
      </c>
      <c r="F45" s="36"/>
      <c r="H45" s="36" t="s">
        <v>406</v>
      </c>
      <c r="I45" s="35">
        <v>4</v>
      </c>
      <c r="J45" s="15" t="s">
        <v>28</v>
      </c>
      <c r="K45" s="112">
        <v>2027</v>
      </c>
      <c r="L45" s="34"/>
      <c r="M45" s="15" t="s">
        <v>388</v>
      </c>
      <c r="N45" s="15" t="s">
        <v>12</v>
      </c>
      <c r="O45" s="15" t="s">
        <v>12</v>
      </c>
      <c r="P45" s="15">
        <v>3</v>
      </c>
      <c r="Q45" s="24">
        <v>12000</v>
      </c>
      <c r="R45" s="98">
        <v>0.5</v>
      </c>
      <c r="S45" s="24"/>
      <c r="T45" s="32"/>
      <c r="U45" s="77" t="s">
        <v>460</v>
      </c>
      <c r="V45" s="83"/>
      <c r="W45" s="83"/>
      <c r="X45" s="24">
        <f t="shared" si="0"/>
        <v>0</v>
      </c>
      <c r="Z45" s="15" t="s">
        <v>4</v>
      </c>
    </row>
    <row r="46" spans="3:26" s="15" customFormat="1" x14ac:dyDescent="0.35">
      <c r="C46" s="15" t="s">
        <v>31</v>
      </c>
      <c r="D46" s="36" t="s">
        <v>31</v>
      </c>
      <c r="E46" s="36" t="s">
        <v>230</v>
      </c>
      <c r="F46" s="36" t="s">
        <v>43</v>
      </c>
      <c r="H46" s="36" t="s">
        <v>229</v>
      </c>
      <c r="I46" s="35">
        <v>4</v>
      </c>
      <c r="J46" s="15" t="s">
        <v>28</v>
      </c>
      <c r="K46" s="34">
        <v>2023</v>
      </c>
      <c r="L46" s="34"/>
      <c r="M46" s="15" t="s">
        <v>32</v>
      </c>
      <c r="O46" s="98"/>
      <c r="P46" s="15">
        <v>3</v>
      </c>
      <c r="Q46" s="24">
        <v>12000</v>
      </c>
      <c r="R46" s="98">
        <v>0.5</v>
      </c>
      <c r="S46" s="99">
        <f>R46*P46</f>
        <v>1.5</v>
      </c>
      <c r="T46" s="32">
        <f>R46*Q46</f>
        <v>6000</v>
      </c>
      <c r="U46" s="78" t="s">
        <v>460</v>
      </c>
      <c r="V46" s="83"/>
      <c r="W46" s="83"/>
      <c r="X46" s="32">
        <f t="shared" si="0"/>
        <v>0</v>
      </c>
      <c r="Z46" s="15" t="s">
        <v>4</v>
      </c>
    </row>
    <row r="47" spans="3:26" s="15" customFormat="1" x14ac:dyDescent="0.35">
      <c r="C47" s="15" t="s">
        <v>31</v>
      </c>
      <c r="D47" s="15" t="s">
        <v>31</v>
      </c>
      <c r="E47" s="36" t="s">
        <v>184</v>
      </c>
      <c r="F47" s="36" t="s">
        <v>37</v>
      </c>
      <c r="H47" s="36" t="s">
        <v>489</v>
      </c>
      <c r="I47" s="35">
        <v>4</v>
      </c>
      <c r="J47" s="15" t="s">
        <v>594</v>
      </c>
      <c r="K47" s="112">
        <v>2024</v>
      </c>
      <c r="L47" s="34"/>
      <c r="M47" s="15" t="s">
        <v>32</v>
      </c>
      <c r="P47" s="109">
        <v>-2</v>
      </c>
      <c r="Q47" s="24">
        <v>-1320</v>
      </c>
      <c r="R47" s="98">
        <v>1</v>
      </c>
      <c r="S47" s="24">
        <v>-2</v>
      </c>
      <c r="T47" s="32">
        <v>-1320</v>
      </c>
      <c r="U47" s="78"/>
      <c r="V47" s="83"/>
      <c r="W47" s="83"/>
      <c r="X47" s="24">
        <f t="shared" si="0"/>
        <v>0</v>
      </c>
      <c r="Z47" s="15" t="s">
        <v>4</v>
      </c>
    </row>
    <row r="48" spans="3:26" s="15" customFormat="1" x14ac:dyDescent="0.35">
      <c r="C48" s="15" t="s">
        <v>31</v>
      </c>
      <c r="D48" s="15" t="s">
        <v>31</v>
      </c>
      <c r="E48" s="36" t="s">
        <v>184</v>
      </c>
      <c r="F48" s="36"/>
      <c r="H48" s="36" t="s">
        <v>383</v>
      </c>
      <c r="I48" s="35">
        <v>4</v>
      </c>
      <c r="J48" s="15" t="s">
        <v>28</v>
      </c>
      <c r="K48" s="112">
        <v>2024</v>
      </c>
      <c r="L48" s="34"/>
      <c r="M48" s="15" t="s">
        <v>32</v>
      </c>
      <c r="O48" s="15" t="s">
        <v>589</v>
      </c>
      <c r="P48" s="109">
        <v>16</v>
      </c>
      <c r="Q48" s="24">
        <f>67000</f>
        <v>67000</v>
      </c>
      <c r="R48" s="98">
        <v>0.2</v>
      </c>
      <c r="S48" s="99">
        <f>R48*P48</f>
        <v>3.2</v>
      </c>
      <c r="T48" s="32">
        <f>R48*Q48</f>
        <v>13400</v>
      </c>
      <c r="U48" s="78" t="s">
        <v>461</v>
      </c>
      <c r="V48" s="83">
        <v>0.2</v>
      </c>
      <c r="W48" s="83">
        <v>0.4</v>
      </c>
      <c r="X48" s="24">
        <f t="shared" si="0"/>
        <v>26800</v>
      </c>
      <c r="Z48" s="15" t="s">
        <v>4</v>
      </c>
    </row>
    <row r="49" spans="3:26" s="15" customFormat="1" x14ac:dyDescent="0.35">
      <c r="C49" s="15" t="s">
        <v>31</v>
      </c>
      <c r="D49" s="15" t="s">
        <v>31</v>
      </c>
      <c r="E49" s="36" t="s">
        <v>172</v>
      </c>
      <c r="F49" s="36" t="s">
        <v>385</v>
      </c>
      <c r="H49" s="15" t="s">
        <v>384</v>
      </c>
      <c r="I49" s="35">
        <v>4</v>
      </c>
      <c r="J49" s="15" t="s">
        <v>28</v>
      </c>
      <c r="K49" s="34">
        <v>2024</v>
      </c>
      <c r="L49" s="34"/>
      <c r="M49" s="15" t="s">
        <v>32</v>
      </c>
      <c r="O49" s="15" t="s">
        <v>590</v>
      </c>
      <c r="P49" s="15">
        <v>1</v>
      </c>
      <c r="Q49" s="24">
        <v>4200</v>
      </c>
      <c r="R49" s="98">
        <v>1</v>
      </c>
      <c r="S49" s="24">
        <f>R49*P49</f>
        <v>1</v>
      </c>
      <c r="T49" s="32">
        <f>R49*Q49</f>
        <v>4200</v>
      </c>
      <c r="U49" s="78"/>
      <c r="V49" s="83"/>
      <c r="W49" s="83"/>
      <c r="X49" s="24">
        <f t="shared" si="0"/>
        <v>0</v>
      </c>
      <c r="Z49" s="15" t="s">
        <v>4</v>
      </c>
    </row>
    <row r="50" spans="3:26" s="15" customFormat="1" x14ac:dyDescent="0.35">
      <c r="C50" s="15" t="s">
        <v>31</v>
      </c>
      <c r="D50" s="15" t="s">
        <v>31</v>
      </c>
      <c r="E50" s="36" t="s">
        <v>44</v>
      </c>
      <c r="F50" s="36"/>
      <c r="H50" s="36" t="s">
        <v>377</v>
      </c>
      <c r="I50" s="35">
        <v>4</v>
      </c>
      <c r="J50" s="15" t="s">
        <v>28</v>
      </c>
      <c r="K50" s="112">
        <v>2023</v>
      </c>
      <c r="L50" s="34"/>
      <c r="M50" s="15" t="s">
        <v>32</v>
      </c>
      <c r="O50" s="15" t="s">
        <v>336</v>
      </c>
      <c r="P50" s="109">
        <v>4</v>
      </c>
      <c r="Q50" s="24">
        <v>16800</v>
      </c>
      <c r="R50" s="98">
        <v>0.44</v>
      </c>
      <c r="S50" s="130">
        <v>1.744</v>
      </c>
      <c r="T50" s="32">
        <v>7325</v>
      </c>
      <c r="U50" s="78" t="s">
        <v>460</v>
      </c>
      <c r="V50" s="83"/>
      <c r="W50" s="83"/>
      <c r="X50" s="24">
        <f t="shared" si="0"/>
        <v>0</v>
      </c>
      <c r="Z50" s="15" t="s">
        <v>4</v>
      </c>
    </row>
    <row r="51" spans="3:26" s="15" customFormat="1" x14ac:dyDescent="0.35">
      <c r="C51" s="15" t="s">
        <v>31</v>
      </c>
      <c r="D51" s="15" t="s">
        <v>31</v>
      </c>
      <c r="E51" s="36" t="s">
        <v>44</v>
      </c>
      <c r="F51" s="36"/>
      <c r="H51" s="36" t="s">
        <v>593</v>
      </c>
      <c r="I51" s="35">
        <v>4</v>
      </c>
      <c r="J51" s="36" t="s">
        <v>594</v>
      </c>
      <c r="K51" s="112">
        <v>2023</v>
      </c>
      <c r="L51" s="34"/>
      <c r="M51" s="15" t="s">
        <v>32</v>
      </c>
      <c r="N51" s="15" t="s">
        <v>232</v>
      </c>
      <c r="O51" s="15" t="s">
        <v>45</v>
      </c>
      <c r="P51" s="109">
        <v>-10</v>
      </c>
      <c r="Q51" s="24">
        <v>-9000</v>
      </c>
      <c r="R51" s="98">
        <v>0.44</v>
      </c>
      <c r="S51" s="24">
        <f>R51*P51</f>
        <v>-4.4000000000000004</v>
      </c>
      <c r="T51" s="32">
        <f>R51*Q51</f>
        <v>-3960</v>
      </c>
      <c r="U51" s="78" t="s">
        <v>460</v>
      </c>
      <c r="V51" s="83"/>
      <c r="W51" s="83"/>
      <c r="X51" s="24"/>
      <c r="Z51" s="15" t="s">
        <v>4</v>
      </c>
    </row>
    <row r="52" spans="3:26" s="15" customFormat="1" x14ac:dyDescent="0.35">
      <c r="C52" s="15" t="s">
        <v>8</v>
      </c>
      <c r="D52" s="15" t="s">
        <v>286</v>
      </c>
      <c r="E52" s="15" t="s">
        <v>305</v>
      </c>
      <c r="H52" s="15" t="s">
        <v>617</v>
      </c>
      <c r="I52" s="35">
        <v>4</v>
      </c>
      <c r="J52" s="15" t="s">
        <v>28</v>
      </c>
      <c r="K52" s="34">
        <v>2024</v>
      </c>
      <c r="L52" s="34"/>
      <c r="M52" s="15" t="s">
        <v>248</v>
      </c>
      <c r="O52" s="15" t="s">
        <v>374</v>
      </c>
      <c r="P52" s="139" t="s">
        <v>619</v>
      </c>
      <c r="Q52" s="91"/>
      <c r="R52" s="113" t="s">
        <v>300</v>
      </c>
      <c r="S52" s="24"/>
      <c r="T52" s="32"/>
      <c r="U52" s="77"/>
      <c r="V52" s="83"/>
      <c r="W52" s="83"/>
      <c r="X52" s="24">
        <f>W52*Q52</f>
        <v>0</v>
      </c>
      <c r="Y52" s="131"/>
      <c r="Z52" s="15" t="s">
        <v>4</v>
      </c>
    </row>
    <row r="53" spans="3:26" s="15" customFormat="1" x14ac:dyDescent="0.35">
      <c r="C53" s="15" t="s">
        <v>8</v>
      </c>
      <c r="D53" s="15" t="s">
        <v>286</v>
      </c>
      <c r="E53" s="36" t="s">
        <v>3</v>
      </c>
      <c r="F53" s="36"/>
      <c r="H53" s="36" t="s">
        <v>567</v>
      </c>
      <c r="I53" s="35">
        <v>4</v>
      </c>
      <c r="J53" s="15" t="s">
        <v>488</v>
      </c>
      <c r="K53" s="34">
        <v>2025</v>
      </c>
      <c r="L53" s="102"/>
      <c r="M53" s="49" t="s">
        <v>568</v>
      </c>
      <c r="N53" s="49"/>
      <c r="P53" s="15">
        <v>1</v>
      </c>
      <c r="Q53" s="24">
        <v>3500</v>
      </c>
      <c r="R53" s="98">
        <v>1</v>
      </c>
      <c r="S53" s="24">
        <f>Tabel24[[#This Row],[COÖPERATIEF -%]]*Tabel24[[#This Row],[AANTAL WIND-TURBINES]]</f>
        <v>1</v>
      </c>
      <c r="T53" s="32">
        <f>Tabel24[[#This Row],[COÖPERATIEF -%]]*Tabel24[[#This Row],[VERMOGEN (KW)]]</f>
        <v>3500</v>
      </c>
      <c r="U53" s="77"/>
      <c r="V53" s="83"/>
      <c r="W53" s="83"/>
      <c r="X53" s="24">
        <f>W53*Q53</f>
        <v>0</v>
      </c>
    </row>
    <row r="54" spans="3:26" s="15" customFormat="1" x14ac:dyDescent="0.35">
      <c r="E54" s="36"/>
      <c r="F54" s="36"/>
      <c r="H54" s="36"/>
      <c r="I54" s="35"/>
      <c r="K54" s="34"/>
      <c r="L54" s="34"/>
      <c r="Q54" s="24"/>
      <c r="S54" s="24"/>
      <c r="T54" s="32"/>
      <c r="U54" s="77"/>
      <c r="V54" s="83"/>
      <c r="W54" s="83"/>
      <c r="X54" s="24"/>
    </row>
    <row r="55" spans="3:26" s="6" customFormat="1" x14ac:dyDescent="0.35">
      <c r="I55" s="19"/>
      <c r="K55" s="25"/>
      <c r="L55" s="25"/>
      <c r="Q55" s="14"/>
      <c r="S55" s="14"/>
      <c r="T55" s="8"/>
      <c r="U55" s="77"/>
      <c r="V55" s="83"/>
      <c r="W55" s="83"/>
      <c r="X55" s="24">
        <f>W55*Q55</f>
        <v>0</v>
      </c>
    </row>
    <row r="56" spans="3:26" s="6" customFormat="1" x14ac:dyDescent="0.35">
      <c r="I56" s="19"/>
      <c r="K56" s="25"/>
      <c r="L56" s="25"/>
      <c r="Q56" s="14"/>
      <c r="S56" s="14"/>
      <c r="T56" s="8"/>
      <c r="U56" s="77"/>
      <c r="V56" s="83"/>
      <c r="W56" s="83"/>
      <c r="X56" s="24">
        <f>W56*Q56</f>
        <v>0</v>
      </c>
    </row>
    <row r="57" spans="3:26" s="6" customFormat="1" x14ac:dyDescent="0.35">
      <c r="I57" s="19"/>
      <c r="K57" s="25"/>
      <c r="L57" s="25"/>
      <c r="Q57" s="14"/>
      <c r="S57" s="14"/>
      <c r="T57" s="8"/>
      <c r="U57" s="77"/>
      <c r="V57" s="83"/>
      <c r="W57" s="83"/>
      <c r="X57" s="24">
        <f>W57*Q57</f>
        <v>0</v>
      </c>
    </row>
    <row r="58" spans="3:26" s="6" customFormat="1" x14ac:dyDescent="0.35">
      <c r="I58" s="19"/>
      <c r="K58" s="25"/>
      <c r="L58" s="25"/>
      <c r="Q58" s="14"/>
      <c r="S58" s="14"/>
      <c r="T58" s="8"/>
      <c r="U58" s="38"/>
      <c r="V58" s="81"/>
      <c r="W58" s="81"/>
      <c r="X58" s="85">
        <f>W58*Q58</f>
        <v>0</v>
      </c>
    </row>
    <row r="59" spans="3:26" s="6" customFormat="1" x14ac:dyDescent="0.35">
      <c r="I59" s="19"/>
      <c r="K59" s="25"/>
      <c r="L59" s="25"/>
      <c r="Q59" s="14"/>
      <c r="S59" s="14"/>
      <c r="T59" s="8"/>
      <c r="U59" s="38"/>
      <c r="V59" s="81"/>
      <c r="W59" s="81"/>
      <c r="X59" s="85">
        <f>W59*Q59</f>
        <v>0</v>
      </c>
    </row>
    <row r="60" spans="3:26" s="6" customFormat="1" x14ac:dyDescent="0.35">
      <c r="I60" s="19"/>
      <c r="K60" s="25"/>
      <c r="L60" s="25"/>
      <c r="Q60" s="14"/>
      <c r="S60" s="14"/>
      <c r="T60" s="8"/>
      <c r="U60" s="38"/>
      <c r="V60" s="81"/>
      <c r="W60" s="81"/>
      <c r="X60" s="85"/>
    </row>
    <row r="61" spans="3:26" s="6" customFormat="1" x14ac:dyDescent="0.35">
      <c r="I61" s="19"/>
      <c r="K61" s="25"/>
      <c r="L61" s="25"/>
      <c r="Q61" s="14"/>
      <c r="S61" s="14"/>
      <c r="T61" s="8"/>
      <c r="U61" s="38"/>
      <c r="V61" s="81"/>
      <c r="W61" s="81"/>
      <c r="X61" s="85"/>
    </row>
    <row r="62" spans="3:26" s="6" customFormat="1" x14ac:dyDescent="0.35">
      <c r="I62" s="19"/>
      <c r="K62" s="25"/>
      <c r="L62" s="25"/>
      <c r="Q62" s="14"/>
      <c r="S62" s="14"/>
      <c r="T62" s="8"/>
      <c r="U62" s="38"/>
      <c r="V62" s="81"/>
      <c r="W62" s="81"/>
      <c r="X62" s="85"/>
    </row>
    <row r="63" spans="3:26" s="6" customFormat="1" x14ac:dyDescent="0.35">
      <c r="I63" s="19"/>
      <c r="K63" s="25"/>
      <c r="L63" s="25"/>
      <c r="Q63" s="14"/>
      <c r="S63" s="14"/>
      <c r="T63" s="8"/>
      <c r="U63" s="38"/>
      <c r="V63" s="81"/>
      <c r="W63" s="81"/>
      <c r="X63" s="85"/>
    </row>
    <row r="64" spans="3:26" s="6" customFormat="1" x14ac:dyDescent="0.35">
      <c r="I64" s="19"/>
      <c r="K64" s="25"/>
      <c r="L64" s="25"/>
      <c r="Q64" s="14"/>
      <c r="S64" s="14"/>
      <c r="T64" s="8"/>
      <c r="U64" s="38"/>
      <c r="V64" s="81"/>
      <c r="W64" s="81"/>
      <c r="X64" s="85"/>
    </row>
    <row r="65" spans="9:24" s="6" customFormat="1" x14ac:dyDescent="0.35">
      <c r="I65" s="19"/>
      <c r="K65" s="25"/>
      <c r="L65" s="25"/>
      <c r="Q65" s="14"/>
      <c r="S65" s="14"/>
      <c r="T65" s="8"/>
      <c r="U65" s="38"/>
      <c r="V65" s="81"/>
      <c r="W65" s="81"/>
      <c r="X65" s="85"/>
    </row>
    <row r="66" spans="9:24" s="6" customFormat="1" x14ac:dyDescent="0.35">
      <c r="I66" s="19"/>
      <c r="K66" s="25"/>
      <c r="L66" s="25"/>
      <c r="Q66" s="14"/>
      <c r="S66" s="14"/>
      <c r="T66" s="8"/>
      <c r="U66" s="38"/>
      <c r="V66" s="81"/>
      <c r="W66" s="81"/>
      <c r="X66" s="85"/>
    </row>
    <row r="67" spans="9:24" s="6" customFormat="1" x14ac:dyDescent="0.35">
      <c r="I67" s="19"/>
      <c r="K67" s="25"/>
      <c r="L67" s="25"/>
      <c r="Q67" s="14"/>
      <c r="S67" s="14"/>
      <c r="T67" s="8"/>
      <c r="U67" s="38"/>
      <c r="V67" s="81"/>
      <c r="W67" s="81"/>
      <c r="X67" s="85"/>
    </row>
    <row r="68" spans="9:24" s="6" customFormat="1" x14ac:dyDescent="0.35">
      <c r="I68" s="19"/>
      <c r="K68" s="25"/>
      <c r="L68" s="25"/>
      <c r="Q68" s="14"/>
      <c r="S68" s="14"/>
      <c r="T68" s="8"/>
      <c r="U68" s="38"/>
      <c r="V68" s="81"/>
      <c r="W68" s="81"/>
      <c r="X68" s="85"/>
    </row>
    <row r="69" spans="9:24" s="6" customFormat="1" x14ac:dyDescent="0.35">
      <c r="I69" s="19"/>
      <c r="K69" s="25"/>
      <c r="L69" s="25"/>
      <c r="Q69" s="14"/>
      <c r="S69" s="14"/>
      <c r="T69" s="8"/>
      <c r="U69" s="38"/>
      <c r="V69" s="81"/>
      <c r="W69" s="81"/>
      <c r="X69" s="85"/>
    </row>
    <row r="70" spans="9:24" s="6" customFormat="1" x14ac:dyDescent="0.35">
      <c r="I70" s="19"/>
      <c r="K70" s="25"/>
      <c r="L70" s="25"/>
      <c r="Q70" s="14"/>
      <c r="S70" s="14"/>
      <c r="T70" s="8"/>
      <c r="U70" s="38"/>
      <c r="V70" s="81"/>
      <c r="W70" s="81"/>
      <c r="X70" s="85"/>
    </row>
    <row r="71" spans="9:24" s="6" customFormat="1" x14ac:dyDescent="0.35">
      <c r="I71" s="19"/>
      <c r="K71" s="25"/>
      <c r="L71" s="25"/>
      <c r="Q71" s="14"/>
      <c r="S71" s="14"/>
      <c r="T71" s="8"/>
      <c r="U71" s="38"/>
      <c r="V71" s="81"/>
      <c r="W71" s="81"/>
      <c r="X71" s="85"/>
    </row>
    <row r="72" spans="9:24" s="6" customFormat="1" x14ac:dyDescent="0.35">
      <c r="I72" s="19"/>
      <c r="K72" s="25"/>
      <c r="L72" s="25"/>
      <c r="Q72" s="14"/>
      <c r="S72" s="14"/>
      <c r="T72" s="8"/>
      <c r="U72" s="38"/>
      <c r="V72" s="81"/>
      <c r="W72" s="81"/>
      <c r="X72" s="85"/>
    </row>
    <row r="73" spans="9:24" s="6" customFormat="1" x14ac:dyDescent="0.35">
      <c r="I73" s="19"/>
      <c r="K73" s="25"/>
      <c r="L73" s="25"/>
      <c r="Q73" s="14"/>
      <c r="S73" s="14"/>
      <c r="T73" s="8"/>
      <c r="U73" s="38"/>
      <c r="V73" s="81"/>
      <c r="W73" s="81"/>
      <c r="X73" s="85"/>
    </row>
    <row r="74" spans="9:24" s="6" customFormat="1" x14ac:dyDescent="0.35">
      <c r="I74" s="19"/>
      <c r="K74" s="25"/>
      <c r="L74" s="25"/>
      <c r="Q74" s="14"/>
      <c r="S74" s="14"/>
      <c r="T74" s="8"/>
      <c r="U74" s="38"/>
      <c r="V74" s="81"/>
      <c r="W74" s="81"/>
      <c r="X74" s="85"/>
    </row>
    <row r="75" spans="9:24" s="6" customFormat="1" x14ac:dyDescent="0.35">
      <c r="I75" s="19"/>
      <c r="K75" s="25"/>
      <c r="L75" s="25"/>
      <c r="Q75" s="14"/>
      <c r="S75" s="14"/>
      <c r="T75" s="8"/>
      <c r="U75" s="38"/>
      <c r="V75" s="81"/>
      <c r="W75" s="81"/>
      <c r="X75" s="85"/>
    </row>
    <row r="76" spans="9:24" s="6" customFormat="1" x14ac:dyDescent="0.35">
      <c r="I76" s="19"/>
      <c r="K76" s="25"/>
      <c r="L76" s="25"/>
      <c r="Q76" s="14"/>
      <c r="S76" s="14"/>
      <c r="T76" s="8"/>
      <c r="U76" s="38"/>
      <c r="V76" s="81"/>
      <c r="W76" s="81"/>
      <c r="X76" s="85"/>
    </row>
    <row r="77" spans="9:24" s="6" customFormat="1" x14ac:dyDescent="0.35">
      <c r="I77" s="19"/>
      <c r="K77" s="25"/>
      <c r="L77" s="25"/>
      <c r="Q77" s="14"/>
      <c r="S77" s="14"/>
      <c r="T77" s="8"/>
      <c r="U77" s="38"/>
      <c r="V77" s="81"/>
      <c r="W77" s="81"/>
      <c r="X77" s="85"/>
    </row>
    <row r="78" spans="9:24" s="6" customFormat="1" x14ac:dyDescent="0.35">
      <c r="I78" s="19"/>
      <c r="K78" s="25"/>
      <c r="L78" s="25"/>
      <c r="Q78" s="14"/>
      <c r="S78" s="14"/>
      <c r="T78" s="8"/>
      <c r="U78" s="38"/>
      <c r="V78" s="81"/>
      <c r="W78" s="81"/>
      <c r="X78" s="85"/>
    </row>
    <row r="79" spans="9:24" s="6" customFormat="1" x14ac:dyDescent="0.35">
      <c r="I79" s="19"/>
      <c r="K79" s="25"/>
      <c r="L79" s="25"/>
      <c r="Q79" s="14"/>
      <c r="S79" s="14"/>
      <c r="T79" s="8"/>
      <c r="U79" s="38"/>
      <c r="V79" s="81"/>
      <c r="W79" s="81"/>
      <c r="X79" s="85"/>
    </row>
    <row r="80" spans="9:24" s="6" customFormat="1" x14ac:dyDescent="0.35">
      <c r="I80" s="19"/>
      <c r="K80" s="25"/>
      <c r="L80" s="25"/>
      <c r="Q80" s="14"/>
      <c r="S80" s="14"/>
      <c r="T80" s="8"/>
      <c r="U80" s="38"/>
      <c r="V80" s="81"/>
      <c r="W80" s="81"/>
      <c r="X80" s="85"/>
    </row>
    <row r="81" spans="9:24" s="6" customFormat="1" x14ac:dyDescent="0.35">
      <c r="I81" s="19"/>
      <c r="K81" s="25"/>
      <c r="L81" s="25"/>
      <c r="Q81" s="14"/>
      <c r="S81" s="14"/>
      <c r="T81" s="8"/>
      <c r="U81" s="38"/>
      <c r="V81" s="81"/>
      <c r="W81" s="81"/>
      <c r="X81" s="85"/>
    </row>
    <row r="82" spans="9:24" s="6" customFormat="1" x14ac:dyDescent="0.35">
      <c r="I82" s="19"/>
      <c r="K82" s="25"/>
      <c r="L82" s="25"/>
      <c r="Q82" s="14"/>
      <c r="S82" s="14"/>
      <c r="T82" s="8"/>
      <c r="U82" s="38"/>
      <c r="V82" s="81"/>
      <c r="W82" s="81"/>
      <c r="X82" s="85"/>
    </row>
    <row r="83" spans="9:24" s="6" customFormat="1" x14ac:dyDescent="0.35">
      <c r="I83" s="19"/>
      <c r="K83" s="25"/>
      <c r="L83" s="25"/>
      <c r="Q83" s="14"/>
      <c r="S83" s="14"/>
      <c r="T83" s="8"/>
      <c r="U83" s="38"/>
      <c r="V83" s="81"/>
      <c r="W83" s="81"/>
      <c r="X83" s="85"/>
    </row>
    <row r="84" spans="9:24" s="6" customFormat="1" x14ac:dyDescent="0.35">
      <c r="I84" s="19"/>
      <c r="K84" s="25"/>
      <c r="L84" s="25"/>
      <c r="Q84" s="14"/>
      <c r="S84" s="14"/>
      <c r="T84" s="8"/>
      <c r="U84" s="38"/>
      <c r="V84" s="81"/>
      <c r="W84" s="81"/>
      <c r="X84" s="85"/>
    </row>
    <row r="85" spans="9:24" s="6" customFormat="1" x14ac:dyDescent="0.35">
      <c r="I85" s="19"/>
      <c r="K85" s="25"/>
      <c r="L85" s="25"/>
      <c r="Q85" s="14"/>
      <c r="S85" s="14"/>
      <c r="T85" s="8"/>
      <c r="U85" s="38"/>
      <c r="V85" s="81"/>
      <c r="W85" s="81"/>
      <c r="X85" s="85"/>
    </row>
    <row r="86" spans="9:24" s="6" customFormat="1" x14ac:dyDescent="0.35">
      <c r="I86" s="19"/>
      <c r="K86" s="25"/>
      <c r="L86" s="25"/>
      <c r="Q86" s="14"/>
      <c r="S86" s="14"/>
      <c r="T86" s="8"/>
      <c r="U86" s="38"/>
      <c r="V86" s="81"/>
      <c r="W86" s="81"/>
      <c r="X86" s="85"/>
    </row>
    <row r="87" spans="9:24" s="6" customFormat="1" x14ac:dyDescent="0.35">
      <c r="I87" s="19"/>
      <c r="K87" s="25"/>
      <c r="L87" s="25"/>
      <c r="Q87" s="14"/>
      <c r="S87" s="14"/>
      <c r="T87" s="8"/>
      <c r="U87" s="38"/>
      <c r="V87" s="81"/>
      <c r="W87" s="81"/>
      <c r="X87" s="85"/>
    </row>
    <row r="88" spans="9:24" s="6" customFormat="1" x14ac:dyDescent="0.35">
      <c r="I88" s="19"/>
      <c r="K88" s="25"/>
      <c r="L88" s="25"/>
      <c r="Q88" s="14"/>
      <c r="S88" s="14"/>
      <c r="T88" s="8"/>
      <c r="U88" s="38"/>
      <c r="V88" s="81"/>
      <c r="W88" s="81"/>
      <c r="X88" s="85"/>
    </row>
    <row r="89" spans="9:24" s="6" customFormat="1" x14ac:dyDescent="0.35">
      <c r="I89" s="19"/>
      <c r="K89" s="25"/>
      <c r="L89" s="25"/>
      <c r="Q89" s="14"/>
      <c r="S89" s="14"/>
      <c r="T89" s="8"/>
      <c r="U89" s="38"/>
      <c r="V89" s="81"/>
      <c r="W89" s="81"/>
      <c r="X89" s="85"/>
    </row>
    <row r="90" spans="9:24" s="6" customFormat="1" x14ac:dyDescent="0.35">
      <c r="I90" s="19"/>
      <c r="K90" s="25"/>
      <c r="L90" s="25"/>
      <c r="Q90" s="14"/>
      <c r="S90" s="14"/>
      <c r="T90" s="8"/>
      <c r="U90" s="38"/>
      <c r="V90" s="81"/>
      <c r="W90" s="81"/>
      <c r="X90" s="85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S26:T26" formula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B3FE-D21D-4CEC-A5A8-3F00E40D9221}">
  <dimension ref="A1:T82"/>
  <sheetViews>
    <sheetView zoomScale="50" zoomScaleNormal="50" workbookViewId="0">
      <selection activeCell="B10" sqref="B10:B12"/>
    </sheetView>
  </sheetViews>
  <sheetFormatPr defaultRowHeight="14.5" x14ac:dyDescent="0.35"/>
  <cols>
    <col min="1" max="1" width="5.7265625" style="6" customWidth="1"/>
    <col min="2" max="2" width="6.81640625" customWidth="1"/>
    <col min="3" max="3" width="15.453125" customWidth="1"/>
    <col min="4" max="4" width="23" customWidth="1"/>
    <col min="5" max="5" width="16.54296875" customWidth="1"/>
    <col min="6" max="6" width="16.26953125" customWidth="1"/>
    <col min="7" max="7" width="6.81640625" customWidth="1"/>
    <col min="8" max="8" width="52.1796875" customWidth="1"/>
    <col min="9" max="9" width="5" style="3" customWidth="1"/>
    <col min="10" max="10" width="13.7265625" customWidth="1"/>
    <col min="11" max="11" width="6.26953125" style="29" customWidth="1"/>
    <col min="12" max="12" width="12.54296875" style="29" customWidth="1"/>
    <col min="13" max="13" width="34.1796875" customWidth="1"/>
    <col min="14" max="14" width="27.7265625" customWidth="1"/>
    <col min="15" max="15" width="20.54296875" customWidth="1"/>
    <col min="16" max="16" width="12.81640625" customWidth="1"/>
    <col min="17" max="17" width="13.453125" style="5" customWidth="1"/>
    <col min="18" max="18" width="16.453125" customWidth="1"/>
    <col min="19" max="19" width="14.453125" style="5" customWidth="1"/>
    <col min="20" max="20" width="15.54296875" style="4" customWidth="1"/>
  </cols>
  <sheetData>
    <row r="1" spans="1:20" ht="21" x14ac:dyDescent="0.5">
      <c r="B1" s="2"/>
      <c r="G1" s="2"/>
    </row>
    <row r="2" spans="1:20" ht="15.5" x14ac:dyDescent="0.35">
      <c r="G2" s="20"/>
      <c r="H2" s="20"/>
      <c r="Q2" s="63"/>
      <c r="R2" s="13"/>
      <c r="S2" s="48"/>
      <c r="T2" s="58"/>
    </row>
    <row r="3" spans="1:20" ht="15.5" x14ac:dyDescent="0.35">
      <c r="G3" s="20"/>
      <c r="H3" s="20"/>
      <c r="Q3" s="63"/>
      <c r="R3" s="13"/>
      <c r="S3" s="48"/>
      <c r="T3" s="58"/>
    </row>
    <row r="4" spans="1:20" ht="15.5" x14ac:dyDescent="0.35">
      <c r="G4" s="20"/>
      <c r="H4" s="20"/>
      <c r="Q4" s="63"/>
      <c r="R4" s="13"/>
      <c r="S4" s="48"/>
      <c r="T4" s="58"/>
    </row>
    <row r="5" spans="1:20" ht="15.5" x14ac:dyDescent="0.35">
      <c r="A5"/>
      <c r="G5" s="20"/>
      <c r="H5" s="20"/>
      <c r="Q5" s="63"/>
      <c r="R5" s="13"/>
      <c r="S5" s="48"/>
      <c r="T5" s="58"/>
    </row>
    <row r="6" spans="1:20" ht="15.5" x14ac:dyDescent="0.35">
      <c r="A6"/>
      <c r="G6" s="20"/>
      <c r="H6" s="20"/>
      <c r="Q6" s="63"/>
      <c r="R6" s="13"/>
      <c r="S6" s="48"/>
      <c r="T6" s="58"/>
    </row>
    <row r="7" spans="1:20" ht="15.5" x14ac:dyDescent="0.35">
      <c r="A7"/>
      <c r="G7" s="20"/>
      <c r="H7" s="20"/>
      <c r="Q7" s="63"/>
      <c r="R7" s="13"/>
      <c r="S7" s="48"/>
      <c r="T7" s="58"/>
    </row>
    <row r="8" spans="1:20" ht="15.5" x14ac:dyDescent="0.35">
      <c r="A8"/>
      <c r="G8" s="20"/>
      <c r="H8" s="20"/>
      <c r="Q8" s="63"/>
      <c r="R8" s="13"/>
      <c r="S8" s="48"/>
      <c r="T8" s="58"/>
    </row>
    <row r="9" spans="1:20" ht="15.5" x14ac:dyDescent="0.35">
      <c r="A9"/>
      <c r="G9" s="20"/>
      <c r="H9" s="20"/>
      <c r="Q9" s="63"/>
      <c r="R9" s="13"/>
      <c r="S9" s="48"/>
      <c r="T9" s="58"/>
    </row>
    <row r="10" spans="1:20" ht="23.5" x14ac:dyDescent="0.55000000000000004">
      <c r="A10"/>
      <c r="B10" s="119" t="s">
        <v>652</v>
      </c>
      <c r="C10" s="119"/>
      <c r="G10" s="20"/>
      <c r="H10" s="20"/>
      <c r="Q10" s="63"/>
      <c r="R10" s="13"/>
      <c r="S10" s="48"/>
      <c r="T10" s="58"/>
    </row>
    <row r="11" spans="1:20" ht="15.5" x14ac:dyDescent="0.35">
      <c r="A11"/>
      <c r="B11" s="1" t="s">
        <v>503</v>
      </c>
      <c r="C11" s="1"/>
      <c r="G11" s="20"/>
      <c r="H11" s="20"/>
      <c r="J11" t="s">
        <v>504</v>
      </c>
      <c r="Q11" s="63"/>
      <c r="R11" s="13"/>
      <c r="S11" s="48"/>
      <c r="T11" s="58"/>
    </row>
    <row r="12" spans="1:20" ht="15.5" x14ac:dyDescent="0.35">
      <c r="A12"/>
      <c r="B12" s="120" t="s">
        <v>500</v>
      </c>
      <c r="C12" s="120"/>
      <c r="G12" s="20"/>
      <c r="H12" s="20"/>
      <c r="Q12" s="63"/>
      <c r="R12" s="13"/>
      <c r="S12" s="48"/>
      <c r="T12" s="58"/>
    </row>
    <row r="13" spans="1:20" ht="15.5" x14ac:dyDescent="0.35">
      <c r="A13"/>
      <c r="G13" s="20"/>
      <c r="H13" s="20"/>
      <c r="P13" s="69" t="s">
        <v>547</v>
      </c>
      <c r="Q13" s="67"/>
      <c r="R13" s="13"/>
      <c r="S13" s="68" t="s">
        <v>548</v>
      </c>
      <c r="T13" s="66"/>
    </row>
    <row r="14" spans="1:20" ht="15.5" x14ac:dyDescent="0.35">
      <c r="A14"/>
      <c r="G14" s="20"/>
      <c r="H14" s="20"/>
      <c r="P14" s="69"/>
      <c r="Q14" s="67"/>
      <c r="R14" s="13"/>
      <c r="S14" s="68"/>
      <c r="T14" s="66"/>
    </row>
    <row r="15" spans="1:20" ht="15.5" x14ac:dyDescent="0.35">
      <c r="A15"/>
      <c r="B15" s="26" t="s">
        <v>507</v>
      </c>
      <c r="G15" s="20"/>
      <c r="H15" s="20"/>
      <c r="P15" s="69"/>
      <c r="Q15" s="67"/>
      <c r="R15" s="62"/>
      <c r="S15" s="68"/>
      <c r="T15" s="66"/>
    </row>
    <row r="16" spans="1:20" s="39" customFormat="1" ht="66" customHeight="1" x14ac:dyDescent="0.35">
      <c r="B16" s="39" t="s">
        <v>360</v>
      </c>
      <c r="C16" s="39" t="s">
        <v>156</v>
      </c>
      <c r="D16" s="28" t="s">
        <v>361</v>
      </c>
      <c r="E16" s="39" t="s">
        <v>155</v>
      </c>
      <c r="F16" s="39" t="s">
        <v>190</v>
      </c>
      <c r="G16" s="39" t="s">
        <v>499</v>
      </c>
      <c r="H16" s="39" t="s">
        <v>154</v>
      </c>
      <c r="I16" s="40" t="s">
        <v>198</v>
      </c>
      <c r="J16" s="41" t="s">
        <v>194</v>
      </c>
      <c r="K16" s="42" t="s">
        <v>403</v>
      </c>
      <c r="L16" s="42" t="s">
        <v>150</v>
      </c>
      <c r="M16" s="43" t="s">
        <v>213</v>
      </c>
      <c r="N16" s="43" t="s">
        <v>152</v>
      </c>
      <c r="O16" s="43" t="s">
        <v>404</v>
      </c>
      <c r="P16" s="41" t="s">
        <v>207</v>
      </c>
      <c r="Q16" s="43" t="s">
        <v>204</v>
      </c>
      <c r="R16" s="43" t="s">
        <v>206</v>
      </c>
      <c r="S16" s="57" t="s">
        <v>334</v>
      </c>
      <c r="T16" s="46" t="s">
        <v>335</v>
      </c>
    </row>
    <row r="17" spans="2:20" s="11" customFormat="1" x14ac:dyDescent="0.35">
      <c r="B17" s="6"/>
      <c r="C17" s="6" t="s">
        <v>16</v>
      </c>
      <c r="D17" s="6" t="s">
        <v>288</v>
      </c>
      <c r="E17" s="47" t="s">
        <v>0</v>
      </c>
      <c r="F17" s="47"/>
      <c r="G17" s="6"/>
      <c r="H17" s="15" t="s">
        <v>586</v>
      </c>
      <c r="I17" s="35">
        <v>6</v>
      </c>
      <c r="J17" t="s">
        <v>508</v>
      </c>
      <c r="K17" s="25"/>
      <c r="L17" s="34">
        <v>2017</v>
      </c>
      <c r="M17" s="6" t="s">
        <v>254</v>
      </c>
      <c r="N17" s="6"/>
      <c r="O17" s="6" t="s">
        <v>171</v>
      </c>
      <c r="P17" s="15"/>
      <c r="Q17" s="24"/>
      <c r="R17" s="15"/>
      <c r="S17" s="24"/>
      <c r="T17" s="32"/>
    </row>
    <row r="18" spans="2:20" s="6" customFormat="1" x14ac:dyDescent="0.35">
      <c r="B18" s="15"/>
      <c r="C18" s="6" t="s">
        <v>6</v>
      </c>
      <c r="D18" s="15" t="s">
        <v>276</v>
      </c>
      <c r="E18" s="36" t="s">
        <v>25</v>
      </c>
      <c r="F18" s="36" t="s">
        <v>162</v>
      </c>
      <c r="G18" s="15"/>
      <c r="H18" s="36" t="s">
        <v>585</v>
      </c>
      <c r="I18" s="35">
        <v>6</v>
      </c>
      <c r="J18" t="s">
        <v>508</v>
      </c>
      <c r="K18" s="54"/>
      <c r="L18" s="34">
        <v>2021</v>
      </c>
      <c r="M18" s="15" t="s">
        <v>163</v>
      </c>
      <c r="N18" s="15"/>
      <c r="O18" s="15"/>
      <c r="P18" s="15" t="s">
        <v>79</v>
      </c>
      <c r="Q18" s="24"/>
      <c r="R18" s="15" t="s">
        <v>11</v>
      </c>
      <c r="S18" s="24"/>
      <c r="T18" s="32"/>
    </row>
    <row r="19" spans="2:20" s="6" customFormat="1" x14ac:dyDescent="0.35">
      <c r="B19" s="15"/>
      <c r="C19" s="6" t="s">
        <v>6</v>
      </c>
      <c r="D19" s="15" t="s">
        <v>362</v>
      </c>
      <c r="E19" s="36" t="s">
        <v>83</v>
      </c>
      <c r="F19" s="36"/>
      <c r="G19" s="15"/>
      <c r="H19" s="36" t="s">
        <v>584</v>
      </c>
      <c r="I19" s="35">
        <v>6</v>
      </c>
      <c r="J19" t="s">
        <v>508</v>
      </c>
      <c r="K19" s="34"/>
      <c r="L19" s="34">
        <v>2017</v>
      </c>
      <c r="M19" s="15" t="s">
        <v>84</v>
      </c>
      <c r="N19" s="15"/>
      <c r="O19" s="15"/>
      <c r="P19" s="15">
        <v>3</v>
      </c>
      <c r="Q19" s="24">
        <f>3*3000</f>
        <v>9000</v>
      </c>
      <c r="R19" s="15" t="s">
        <v>11</v>
      </c>
      <c r="S19" s="24"/>
      <c r="T19" s="32"/>
    </row>
    <row r="20" spans="2:20" s="6" customFormat="1" x14ac:dyDescent="0.35">
      <c r="B20" s="15"/>
      <c r="C20" s="49" t="s">
        <v>7</v>
      </c>
      <c r="D20" s="15" t="s">
        <v>282</v>
      </c>
      <c r="E20" s="15" t="s">
        <v>169</v>
      </c>
      <c r="F20" s="15" t="s">
        <v>143</v>
      </c>
      <c r="G20" s="15"/>
      <c r="H20" s="15" t="s">
        <v>582</v>
      </c>
      <c r="I20" s="65">
        <v>6</v>
      </c>
      <c r="J20" t="s">
        <v>508</v>
      </c>
      <c r="K20" s="54"/>
      <c r="L20" s="34">
        <v>2021</v>
      </c>
      <c r="M20" s="15" t="s">
        <v>583</v>
      </c>
      <c r="N20" s="21"/>
      <c r="O20" s="21"/>
      <c r="P20" s="135">
        <v>-1</v>
      </c>
      <c r="Q20" s="24">
        <v>-75</v>
      </c>
      <c r="R20" s="123">
        <v>1</v>
      </c>
      <c r="S20" s="24">
        <v>-1</v>
      </c>
      <c r="T20" s="32">
        <v>-75</v>
      </c>
    </row>
    <row r="21" spans="2:20" s="27" customFormat="1" x14ac:dyDescent="0.35">
      <c r="B21" s="15"/>
      <c r="C21" s="6" t="s">
        <v>20</v>
      </c>
      <c r="D21" s="47" t="s">
        <v>456</v>
      </c>
      <c r="E21" s="36" t="s">
        <v>157</v>
      </c>
      <c r="F21" s="36"/>
      <c r="G21" s="15"/>
      <c r="H21" s="36" t="s">
        <v>580</v>
      </c>
      <c r="I21" s="35">
        <v>6</v>
      </c>
      <c r="J21" t="s">
        <v>508</v>
      </c>
      <c r="K21" s="54"/>
      <c r="L21" s="34">
        <v>2021</v>
      </c>
      <c r="M21" s="15" t="s">
        <v>581</v>
      </c>
      <c r="N21" s="15"/>
      <c r="O21" s="15"/>
      <c r="P21" s="109" t="s">
        <v>11</v>
      </c>
      <c r="Q21" s="24"/>
      <c r="R21" s="98"/>
      <c r="S21" s="24"/>
      <c r="T21" s="32"/>
    </row>
    <row r="22" spans="2:20" s="27" customFormat="1" x14ac:dyDescent="0.35">
      <c r="B22" s="6"/>
      <c r="C22" s="6" t="s">
        <v>1</v>
      </c>
      <c r="D22" s="15" t="s">
        <v>1</v>
      </c>
      <c r="E22" s="47" t="s">
        <v>435</v>
      </c>
      <c r="F22" s="47"/>
      <c r="G22" s="6"/>
      <c r="H22" s="6" t="s">
        <v>579</v>
      </c>
      <c r="I22" s="35">
        <v>6</v>
      </c>
      <c r="J22" t="s">
        <v>508</v>
      </c>
      <c r="K22" s="74"/>
      <c r="L22" s="34">
        <v>2021</v>
      </c>
      <c r="M22" s="6" t="s">
        <v>436</v>
      </c>
      <c r="N22" s="6"/>
      <c r="O22" s="6" t="s">
        <v>437</v>
      </c>
      <c r="P22" s="15">
        <v>1</v>
      </c>
      <c r="Q22" s="24">
        <f>1*4300</f>
        <v>4300</v>
      </c>
      <c r="R22" s="90"/>
      <c r="S22" s="24">
        <v>14</v>
      </c>
      <c r="T22" s="32">
        <f>14*4300</f>
        <v>60200</v>
      </c>
    </row>
    <row r="23" spans="2:20" s="6" customFormat="1" x14ac:dyDescent="0.35">
      <c r="B23" s="11"/>
      <c r="C23" s="6" t="s">
        <v>20</v>
      </c>
      <c r="D23" s="47" t="s">
        <v>456</v>
      </c>
      <c r="E23" s="6" t="s">
        <v>20</v>
      </c>
      <c r="G23" s="11"/>
      <c r="H23" s="6" t="s">
        <v>578</v>
      </c>
      <c r="I23" s="35">
        <v>6</v>
      </c>
      <c r="J23" t="s">
        <v>508</v>
      </c>
      <c r="K23" s="53"/>
      <c r="L23" s="102">
        <v>2014</v>
      </c>
      <c r="M23" s="6" t="s">
        <v>236</v>
      </c>
      <c r="P23" s="15"/>
      <c r="Q23" s="89"/>
      <c r="R23" s="15"/>
      <c r="S23" s="24"/>
      <c r="T23" s="32"/>
    </row>
    <row r="24" spans="2:20" s="27" customFormat="1" x14ac:dyDescent="0.35">
      <c r="B24" s="11"/>
      <c r="C24" s="11" t="s">
        <v>7</v>
      </c>
      <c r="D24" s="6" t="s">
        <v>283</v>
      </c>
      <c r="E24" s="11" t="s">
        <v>158</v>
      </c>
      <c r="F24" s="11"/>
      <c r="G24" s="11"/>
      <c r="H24" s="6" t="s">
        <v>577</v>
      </c>
      <c r="I24" s="35">
        <v>6</v>
      </c>
      <c r="J24" t="s">
        <v>508</v>
      </c>
      <c r="K24" s="52"/>
      <c r="L24" s="34">
        <v>2019</v>
      </c>
      <c r="M24" s="6" t="s">
        <v>309</v>
      </c>
      <c r="N24" s="6" t="s">
        <v>310</v>
      </c>
      <c r="O24" s="17" t="s">
        <v>308</v>
      </c>
      <c r="P24" s="15">
        <v>6</v>
      </c>
      <c r="Q24" s="24">
        <f>Tabel245[[#This Row],[AANTAL WIND-TURBINES]]*4000</f>
        <v>24000</v>
      </c>
      <c r="R24" s="143">
        <v>0</v>
      </c>
      <c r="S24" s="24">
        <f>Tabel245[[#This Row],[COÖPERATIEF -%]]*Tabel245[[#This Row],[AANTAL WIND-TURBINES]]</f>
        <v>0</v>
      </c>
      <c r="T24" s="32">
        <f>S24*4000</f>
        <v>0</v>
      </c>
    </row>
    <row r="25" spans="2:20" s="6" customFormat="1" x14ac:dyDescent="0.35">
      <c r="B25" s="11"/>
      <c r="C25" s="6" t="s">
        <v>14</v>
      </c>
      <c r="D25" s="6" t="s">
        <v>287</v>
      </c>
      <c r="E25" s="47" t="s">
        <v>140</v>
      </c>
      <c r="F25" s="47"/>
      <c r="G25" s="11"/>
      <c r="H25" s="36" t="s">
        <v>576</v>
      </c>
      <c r="I25" s="35">
        <v>6</v>
      </c>
      <c r="J25" t="s">
        <v>508</v>
      </c>
      <c r="K25" s="25"/>
      <c r="L25" s="34">
        <v>2016</v>
      </c>
      <c r="M25" s="6" t="s">
        <v>354</v>
      </c>
      <c r="P25" s="15"/>
      <c r="Q25" s="24"/>
      <c r="R25" s="15"/>
      <c r="S25" s="24">
        <v>1</v>
      </c>
      <c r="T25" s="32">
        <f>S25*3000</f>
        <v>3000</v>
      </c>
    </row>
    <row r="26" spans="2:20" s="6" customFormat="1" x14ac:dyDescent="0.35">
      <c r="B26" s="11"/>
      <c r="C26" s="6" t="s">
        <v>8</v>
      </c>
      <c r="D26" s="47" t="s">
        <v>286</v>
      </c>
      <c r="E26" s="11" t="s">
        <v>97</v>
      </c>
      <c r="F26" s="11"/>
      <c r="G26" s="11"/>
      <c r="H26" s="6" t="s">
        <v>574</v>
      </c>
      <c r="I26" s="35">
        <v>6</v>
      </c>
      <c r="J26" t="s">
        <v>508</v>
      </c>
      <c r="K26" s="53"/>
      <c r="L26" s="102">
        <v>2018</v>
      </c>
      <c r="M26" s="51" t="s">
        <v>575</v>
      </c>
      <c r="N26" s="51"/>
      <c r="O26" s="11" t="s">
        <v>98</v>
      </c>
      <c r="P26" s="113">
        <v>3</v>
      </c>
      <c r="Q26" s="89">
        <v>12000</v>
      </c>
      <c r="R26" s="15" t="s">
        <v>11</v>
      </c>
      <c r="S26" s="116"/>
      <c r="T26" s="32"/>
    </row>
    <row r="27" spans="2:20" s="27" customFormat="1" x14ac:dyDescent="0.35">
      <c r="B27" s="11"/>
      <c r="C27" s="50" t="s">
        <v>9</v>
      </c>
      <c r="D27" s="6" t="s">
        <v>9</v>
      </c>
      <c r="E27" s="6" t="s">
        <v>53</v>
      </c>
      <c r="F27" s="11"/>
      <c r="G27" s="11"/>
      <c r="H27" s="11" t="s">
        <v>176</v>
      </c>
      <c r="I27" s="35">
        <v>6</v>
      </c>
      <c r="J27" t="s">
        <v>508</v>
      </c>
      <c r="K27" s="54"/>
      <c r="L27" s="34">
        <v>2012</v>
      </c>
      <c r="M27" s="51"/>
      <c r="N27" s="51"/>
      <c r="O27" s="11"/>
      <c r="P27" s="15"/>
      <c r="Q27" s="24"/>
      <c r="R27" s="15"/>
      <c r="S27" s="24"/>
      <c r="T27" s="32"/>
    </row>
    <row r="28" spans="2:20" s="27" customFormat="1" x14ac:dyDescent="0.35">
      <c r="B28" s="11"/>
      <c r="C28" s="11" t="s">
        <v>14</v>
      </c>
      <c r="D28" s="6" t="s">
        <v>287</v>
      </c>
      <c r="E28" s="47" t="s">
        <v>159</v>
      </c>
      <c r="F28" s="47" t="s">
        <v>94</v>
      </c>
      <c r="G28" s="11"/>
      <c r="H28" s="59" t="s">
        <v>573</v>
      </c>
      <c r="I28" s="35">
        <v>6</v>
      </c>
      <c r="J28" t="s">
        <v>508</v>
      </c>
      <c r="K28" s="25"/>
      <c r="L28" s="34">
        <v>2018</v>
      </c>
      <c r="M28" s="6" t="s">
        <v>101</v>
      </c>
      <c r="N28" s="11"/>
      <c r="O28" s="11"/>
      <c r="P28" s="110">
        <v>3</v>
      </c>
      <c r="Q28" s="24">
        <f>4*3000</f>
        <v>12000</v>
      </c>
      <c r="R28" s="90">
        <v>0.33</v>
      </c>
      <c r="S28" s="24">
        <f>Tabel245[[#This Row],[COÖPERATIEF -%]]*Tabel245[[#This Row],[AANTAL WIND-TURBINES]]</f>
        <v>0.99</v>
      </c>
      <c r="T28" s="32">
        <f>Q28*R28</f>
        <v>3960</v>
      </c>
    </row>
    <row r="29" spans="2:20" s="27" customFormat="1" x14ac:dyDescent="0.35">
      <c r="B29" s="11"/>
      <c r="C29" s="11" t="s">
        <v>14</v>
      </c>
      <c r="D29" s="6" t="s">
        <v>289</v>
      </c>
      <c r="E29" s="11" t="s">
        <v>24</v>
      </c>
      <c r="F29" s="11"/>
      <c r="G29" s="11"/>
      <c r="H29" s="11" t="s">
        <v>572</v>
      </c>
      <c r="I29" s="35">
        <v>6</v>
      </c>
      <c r="J29" t="s">
        <v>508</v>
      </c>
      <c r="K29" s="25"/>
      <c r="L29" s="34">
        <v>2016</v>
      </c>
      <c r="M29" s="11" t="s">
        <v>135</v>
      </c>
      <c r="N29" s="11"/>
      <c r="O29" s="11"/>
      <c r="P29" s="15">
        <v>3</v>
      </c>
      <c r="Q29" s="24">
        <f>P29*3000</f>
        <v>9000</v>
      </c>
      <c r="R29" s="15"/>
      <c r="S29" s="110"/>
      <c r="T29" s="32"/>
    </row>
    <row r="30" spans="2:20" s="27" customFormat="1" x14ac:dyDescent="0.35">
      <c r="B30" s="15"/>
      <c r="C30" s="15" t="s">
        <v>31</v>
      </c>
      <c r="D30" s="15" t="s">
        <v>31</v>
      </c>
      <c r="E30" s="15"/>
      <c r="F30" s="15"/>
      <c r="G30" s="15"/>
      <c r="H30" s="15" t="s">
        <v>571</v>
      </c>
      <c r="I30" s="35">
        <v>6</v>
      </c>
      <c r="J30" t="s">
        <v>508</v>
      </c>
      <c r="K30" s="34"/>
      <c r="L30" s="34">
        <v>2018</v>
      </c>
      <c r="M30" s="6" t="s">
        <v>32</v>
      </c>
      <c r="N30" s="15"/>
      <c r="O30" s="15"/>
      <c r="P30" s="15"/>
      <c r="Q30" s="24"/>
      <c r="R30" s="15"/>
      <c r="S30" s="24"/>
      <c r="T30" s="32"/>
    </row>
    <row r="31" spans="2:20" s="27" customFormat="1" x14ac:dyDescent="0.35">
      <c r="B31" s="6"/>
      <c r="C31" s="15" t="s">
        <v>31</v>
      </c>
      <c r="D31" s="36" t="s">
        <v>31</v>
      </c>
      <c r="E31" s="47" t="s">
        <v>172</v>
      </c>
      <c r="F31" s="47" t="s">
        <v>393</v>
      </c>
      <c r="G31" s="6"/>
      <c r="H31" s="47" t="s">
        <v>392</v>
      </c>
      <c r="I31" s="35">
        <v>6</v>
      </c>
      <c r="J31" t="s">
        <v>508</v>
      </c>
      <c r="K31" s="54"/>
      <c r="L31" s="34">
        <v>2021</v>
      </c>
      <c r="M31" s="6" t="s">
        <v>32</v>
      </c>
      <c r="N31" s="6"/>
      <c r="O31" s="12"/>
      <c r="P31" s="15">
        <v>3</v>
      </c>
      <c r="Q31" s="24">
        <v>12600</v>
      </c>
      <c r="R31" s="90">
        <v>0.5</v>
      </c>
      <c r="S31" s="99">
        <f>R31*P31</f>
        <v>1.5</v>
      </c>
      <c r="T31" s="32">
        <f>R31*Q31</f>
        <v>6300</v>
      </c>
    </row>
    <row r="32" spans="2:20" s="15" customFormat="1" x14ac:dyDescent="0.35">
      <c r="B32" s="6"/>
      <c r="C32" s="15" t="s">
        <v>31</v>
      </c>
      <c r="D32" s="15" t="s">
        <v>31</v>
      </c>
      <c r="E32" s="47"/>
      <c r="F32" s="47"/>
      <c r="G32" s="6"/>
      <c r="H32" s="47" t="s">
        <v>137</v>
      </c>
      <c r="I32" s="35">
        <v>6</v>
      </c>
      <c r="J32" t="s">
        <v>508</v>
      </c>
      <c r="K32" s="25"/>
      <c r="L32" s="34">
        <v>2016</v>
      </c>
      <c r="M32" s="6" t="s">
        <v>32</v>
      </c>
      <c r="N32" s="6"/>
      <c r="O32" s="6"/>
      <c r="Q32" s="24"/>
      <c r="S32" s="24"/>
      <c r="T32" s="32"/>
    </row>
    <row r="33" spans="2:20" s="6" customFormat="1" x14ac:dyDescent="0.35">
      <c r="C33" s="15" t="s">
        <v>31</v>
      </c>
      <c r="D33" s="15" t="s">
        <v>31</v>
      </c>
      <c r="E33" s="47" t="s">
        <v>359</v>
      </c>
      <c r="F33" s="47"/>
      <c r="H33" s="47" t="s">
        <v>438</v>
      </c>
      <c r="I33" s="35">
        <v>6</v>
      </c>
      <c r="J33" t="s">
        <v>508</v>
      </c>
      <c r="K33" s="54"/>
      <c r="L33" s="34">
        <v>2021</v>
      </c>
      <c r="M33" s="6" t="s">
        <v>32</v>
      </c>
      <c r="P33" s="15"/>
      <c r="Q33" s="24">
        <v>20000</v>
      </c>
      <c r="R33" s="90">
        <v>1</v>
      </c>
      <c r="S33" s="24">
        <f>R33*P33</f>
        <v>0</v>
      </c>
      <c r="T33" s="32">
        <f>R33*Q33</f>
        <v>20000</v>
      </c>
    </row>
    <row r="34" spans="2:20" s="6" customFormat="1" x14ac:dyDescent="0.35">
      <c r="C34" s="15" t="s">
        <v>31</v>
      </c>
      <c r="D34" s="15" t="s">
        <v>31</v>
      </c>
      <c r="E34" s="47" t="s">
        <v>225</v>
      </c>
      <c r="F34" s="47" t="s">
        <v>46</v>
      </c>
      <c r="H34" s="6" t="s">
        <v>326</v>
      </c>
      <c r="I34" s="35">
        <v>6</v>
      </c>
      <c r="J34" t="s">
        <v>508</v>
      </c>
      <c r="K34" s="54"/>
      <c r="L34" s="34">
        <v>2021</v>
      </c>
      <c r="M34" s="6" t="s">
        <v>32</v>
      </c>
      <c r="O34" s="6" t="s">
        <v>648</v>
      </c>
      <c r="P34" s="15">
        <v>3</v>
      </c>
      <c r="Q34" s="24">
        <v>12000</v>
      </c>
      <c r="R34" s="90">
        <v>0.33</v>
      </c>
      <c r="S34" s="24">
        <f>R34*P34</f>
        <v>0.99</v>
      </c>
      <c r="T34" s="32">
        <f>R34*Q34</f>
        <v>3960</v>
      </c>
    </row>
    <row r="35" spans="2:20" s="6" customFormat="1" x14ac:dyDescent="0.35">
      <c r="B35" s="15"/>
      <c r="C35" s="6" t="s">
        <v>20</v>
      </c>
      <c r="D35" s="47" t="s">
        <v>456</v>
      </c>
      <c r="E35" s="15" t="s">
        <v>71</v>
      </c>
      <c r="F35" s="15"/>
      <c r="G35" s="15"/>
      <c r="H35" s="15" t="s">
        <v>237</v>
      </c>
      <c r="I35" s="35">
        <v>6</v>
      </c>
      <c r="J35" t="s">
        <v>508</v>
      </c>
      <c r="K35" s="25"/>
      <c r="L35" s="34">
        <v>2019</v>
      </c>
      <c r="M35" s="15" t="s">
        <v>296</v>
      </c>
      <c r="N35" s="15"/>
      <c r="O35" s="15"/>
      <c r="P35" s="115">
        <v>3</v>
      </c>
      <c r="Q35" s="24">
        <f>3*3000</f>
        <v>9000</v>
      </c>
      <c r="R35" s="90">
        <v>0.33</v>
      </c>
      <c r="S35" s="24">
        <v>1</v>
      </c>
      <c r="T35" s="100">
        <v>3000</v>
      </c>
    </row>
    <row r="36" spans="2:20" s="6" customFormat="1" x14ac:dyDescent="0.35">
      <c r="B36" s="11"/>
      <c r="C36" s="6" t="s">
        <v>8</v>
      </c>
      <c r="D36" s="6" t="s">
        <v>286</v>
      </c>
      <c r="E36" s="6" t="s">
        <v>19</v>
      </c>
      <c r="G36" s="11"/>
      <c r="H36" s="15" t="s">
        <v>113</v>
      </c>
      <c r="I36" s="35">
        <v>6</v>
      </c>
      <c r="J36" t="s">
        <v>508</v>
      </c>
      <c r="K36" s="25"/>
      <c r="L36" s="34">
        <v>2017</v>
      </c>
      <c r="M36" s="50" t="s">
        <v>256</v>
      </c>
      <c r="N36" s="50"/>
      <c r="P36" s="55">
        <v>1</v>
      </c>
      <c r="Q36" s="18"/>
      <c r="R36" s="10">
        <v>1</v>
      </c>
      <c r="S36" s="56"/>
      <c r="T36" s="8"/>
    </row>
    <row r="37" spans="2:20" s="6" customFormat="1" x14ac:dyDescent="0.35">
      <c r="I37" s="19"/>
      <c r="K37" s="25"/>
      <c r="L37" s="25"/>
      <c r="Q37" s="14"/>
      <c r="S37" s="14"/>
      <c r="T37" s="8"/>
    </row>
    <row r="38" spans="2:20" s="6" customFormat="1" x14ac:dyDescent="0.35">
      <c r="I38" s="19"/>
      <c r="K38" s="25"/>
      <c r="L38" s="25"/>
      <c r="Q38" s="14"/>
      <c r="S38" s="14"/>
      <c r="T38" s="8"/>
    </row>
    <row r="39" spans="2:20" s="6" customFormat="1" x14ac:dyDescent="0.35">
      <c r="I39" s="19"/>
      <c r="K39" s="25"/>
      <c r="L39" s="25"/>
      <c r="Q39" s="14"/>
      <c r="S39" s="14"/>
      <c r="T39" s="8"/>
    </row>
    <row r="40" spans="2:20" s="6" customFormat="1" x14ac:dyDescent="0.35">
      <c r="I40" s="19"/>
      <c r="K40" s="25"/>
      <c r="L40" s="25"/>
      <c r="Q40" s="14"/>
      <c r="S40" s="14"/>
      <c r="T40" s="8"/>
    </row>
    <row r="41" spans="2:20" s="6" customFormat="1" x14ac:dyDescent="0.35">
      <c r="I41" s="19"/>
      <c r="K41" s="25"/>
      <c r="L41" s="25"/>
      <c r="Q41" s="14"/>
      <c r="S41" s="14"/>
      <c r="T41" s="8"/>
    </row>
    <row r="42" spans="2:20" s="6" customFormat="1" x14ac:dyDescent="0.35">
      <c r="I42" s="19"/>
      <c r="K42" s="25"/>
      <c r="L42" s="25"/>
      <c r="Q42" s="14"/>
      <c r="S42" s="14"/>
      <c r="T42" s="8"/>
    </row>
    <row r="43" spans="2:20" s="6" customFormat="1" x14ac:dyDescent="0.35">
      <c r="I43" s="19"/>
      <c r="K43" s="25"/>
      <c r="L43" s="25"/>
      <c r="Q43" s="14"/>
      <c r="S43" s="14"/>
      <c r="T43" s="8"/>
    </row>
    <row r="44" spans="2:20" s="6" customFormat="1" x14ac:dyDescent="0.35">
      <c r="I44" s="19"/>
      <c r="K44" s="25"/>
      <c r="L44" s="25"/>
      <c r="Q44" s="14"/>
      <c r="S44" s="14"/>
      <c r="T44" s="8"/>
    </row>
    <row r="45" spans="2:20" s="6" customFormat="1" x14ac:dyDescent="0.35">
      <c r="I45" s="19"/>
      <c r="K45" s="25"/>
      <c r="L45" s="25"/>
      <c r="Q45" s="14"/>
      <c r="S45" s="14"/>
      <c r="T45" s="8"/>
    </row>
    <row r="46" spans="2:20" s="6" customFormat="1" x14ac:dyDescent="0.35">
      <c r="I46" s="19"/>
      <c r="K46" s="25"/>
      <c r="L46" s="25"/>
      <c r="Q46" s="14"/>
      <c r="S46" s="14"/>
      <c r="T46" s="8"/>
    </row>
    <row r="47" spans="2:20" s="6" customFormat="1" x14ac:dyDescent="0.35">
      <c r="I47" s="19"/>
      <c r="K47" s="25"/>
      <c r="L47" s="25"/>
      <c r="Q47" s="14"/>
      <c r="S47" s="14"/>
      <c r="T47" s="8"/>
    </row>
    <row r="48" spans="2:20" s="6" customFormat="1" x14ac:dyDescent="0.35">
      <c r="I48" s="19"/>
      <c r="K48" s="25"/>
      <c r="L48" s="25"/>
      <c r="Q48" s="14"/>
      <c r="S48" s="14"/>
      <c r="T48" s="8"/>
    </row>
    <row r="49" spans="9:20" s="6" customFormat="1" x14ac:dyDescent="0.35">
      <c r="I49" s="19"/>
      <c r="K49" s="25"/>
      <c r="L49" s="25"/>
      <c r="Q49" s="14"/>
      <c r="S49" s="14"/>
      <c r="T49" s="8"/>
    </row>
    <row r="50" spans="9:20" s="6" customFormat="1" x14ac:dyDescent="0.35">
      <c r="I50" s="19"/>
      <c r="K50" s="25"/>
      <c r="L50" s="25"/>
      <c r="Q50" s="14"/>
      <c r="S50" s="14"/>
      <c r="T50" s="8"/>
    </row>
    <row r="51" spans="9:20" s="6" customFormat="1" x14ac:dyDescent="0.35">
      <c r="I51" s="19"/>
      <c r="K51" s="25"/>
      <c r="L51" s="25"/>
      <c r="Q51" s="14"/>
      <c r="S51" s="14"/>
      <c r="T51" s="8"/>
    </row>
    <row r="52" spans="9:20" s="6" customFormat="1" x14ac:dyDescent="0.35">
      <c r="I52" s="19"/>
      <c r="K52" s="25"/>
      <c r="L52" s="25"/>
      <c r="Q52" s="14"/>
      <c r="S52" s="14"/>
      <c r="T52" s="8"/>
    </row>
    <row r="53" spans="9:20" s="6" customFormat="1" x14ac:dyDescent="0.35">
      <c r="I53" s="19"/>
      <c r="K53" s="25"/>
      <c r="L53" s="25"/>
      <c r="Q53" s="14"/>
      <c r="S53" s="14"/>
      <c r="T53" s="8"/>
    </row>
    <row r="54" spans="9:20" s="6" customFormat="1" x14ac:dyDescent="0.35">
      <c r="I54" s="19"/>
      <c r="K54" s="25"/>
      <c r="L54" s="25"/>
      <c r="Q54" s="14"/>
      <c r="S54" s="14"/>
      <c r="T54" s="8"/>
    </row>
    <row r="55" spans="9:20" s="6" customFormat="1" x14ac:dyDescent="0.35">
      <c r="I55" s="19"/>
      <c r="K55" s="25"/>
      <c r="L55" s="25"/>
      <c r="Q55" s="14"/>
      <c r="S55" s="14"/>
      <c r="T55" s="8"/>
    </row>
    <row r="56" spans="9:20" s="6" customFormat="1" x14ac:dyDescent="0.35">
      <c r="I56" s="19"/>
      <c r="K56" s="25"/>
      <c r="L56" s="25"/>
      <c r="Q56" s="14"/>
      <c r="S56" s="14"/>
      <c r="T56" s="8"/>
    </row>
    <row r="57" spans="9:20" s="6" customFormat="1" x14ac:dyDescent="0.35">
      <c r="I57" s="19"/>
      <c r="K57" s="25"/>
      <c r="L57" s="25"/>
      <c r="Q57" s="14"/>
      <c r="S57" s="14"/>
      <c r="T57" s="8"/>
    </row>
    <row r="58" spans="9:20" s="6" customFormat="1" x14ac:dyDescent="0.35">
      <c r="I58" s="19"/>
      <c r="K58" s="25"/>
      <c r="L58" s="25"/>
      <c r="Q58" s="14"/>
      <c r="S58" s="14"/>
      <c r="T58" s="8"/>
    </row>
    <row r="59" spans="9:20" s="6" customFormat="1" x14ac:dyDescent="0.35">
      <c r="I59" s="19"/>
      <c r="K59" s="25"/>
      <c r="L59" s="25"/>
      <c r="Q59" s="14"/>
      <c r="S59" s="14"/>
      <c r="T59" s="8"/>
    </row>
    <row r="60" spans="9:20" s="6" customFormat="1" x14ac:dyDescent="0.35">
      <c r="I60" s="19"/>
      <c r="K60" s="25"/>
      <c r="L60" s="25"/>
      <c r="Q60" s="14"/>
      <c r="S60" s="14"/>
      <c r="T60" s="8"/>
    </row>
    <row r="61" spans="9:20" s="6" customFormat="1" x14ac:dyDescent="0.35">
      <c r="I61" s="19"/>
      <c r="K61" s="25"/>
      <c r="L61" s="25"/>
      <c r="Q61" s="14"/>
      <c r="S61" s="14"/>
      <c r="T61" s="8"/>
    </row>
    <row r="62" spans="9:20" s="6" customFormat="1" x14ac:dyDescent="0.35">
      <c r="I62" s="19"/>
      <c r="K62" s="25"/>
      <c r="L62" s="25"/>
      <c r="Q62" s="14"/>
      <c r="S62" s="14"/>
      <c r="T62" s="8"/>
    </row>
    <row r="63" spans="9:20" s="6" customFormat="1" x14ac:dyDescent="0.35">
      <c r="I63" s="19"/>
      <c r="K63" s="25"/>
      <c r="L63" s="25"/>
      <c r="Q63" s="14"/>
      <c r="S63" s="14"/>
      <c r="T63" s="8"/>
    </row>
    <row r="64" spans="9:20" s="6" customFormat="1" x14ac:dyDescent="0.35">
      <c r="I64" s="19"/>
      <c r="K64" s="25"/>
      <c r="L64" s="25"/>
      <c r="Q64" s="14"/>
      <c r="S64" s="14"/>
      <c r="T64" s="8"/>
    </row>
    <row r="65" spans="9:20" s="6" customFormat="1" x14ac:dyDescent="0.35">
      <c r="I65" s="19"/>
      <c r="K65" s="25"/>
      <c r="L65" s="25"/>
      <c r="Q65" s="14"/>
      <c r="S65" s="14"/>
      <c r="T65" s="8"/>
    </row>
    <row r="66" spans="9:20" s="6" customFormat="1" x14ac:dyDescent="0.35">
      <c r="I66" s="19"/>
      <c r="K66" s="25"/>
      <c r="L66" s="25"/>
      <c r="Q66" s="14"/>
      <c r="S66" s="14"/>
      <c r="T66" s="8"/>
    </row>
    <row r="67" spans="9:20" s="6" customFormat="1" x14ac:dyDescent="0.35">
      <c r="I67" s="19"/>
      <c r="K67" s="25"/>
      <c r="L67" s="25"/>
      <c r="Q67" s="14"/>
      <c r="S67" s="14"/>
      <c r="T67" s="8"/>
    </row>
    <row r="68" spans="9:20" s="6" customFormat="1" x14ac:dyDescent="0.35">
      <c r="I68" s="19"/>
      <c r="K68" s="25"/>
      <c r="L68" s="25"/>
      <c r="Q68" s="14"/>
      <c r="S68" s="14"/>
      <c r="T68" s="8"/>
    </row>
    <row r="69" spans="9:20" s="6" customFormat="1" x14ac:dyDescent="0.35">
      <c r="I69" s="19"/>
      <c r="K69" s="25"/>
      <c r="L69" s="25"/>
      <c r="Q69" s="14"/>
      <c r="S69" s="14"/>
      <c r="T69" s="8"/>
    </row>
    <row r="70" spans="9:20" s="6" customFormat="1" x14ac:dyDescent="0.35">
      <c r="I70" s="19"/>
      <c r="K70" s="25"/>
      <c r="L70" s="25"/>
      <c r="Q70" s="14"/>
      <c r="S70" s="14"/>
      <c r="T70" s="8"/>
    </row>
    <row r="71" spans="9:20" s="6" customFormat="1" x14ac:dyDescent="0.35">
      <c r="I71" s="19"/>
      <c r="K71" s="25"/>
      <c r="L71" s="25"/>
      <c r="Q71" s="14"/>
      <c r="S71" s="14"/>
      <c r="T71" s="8"/>
    </row>
    <row r="72" spans="9:20" s="6" customFormat="1" x14ac:dyDescent="0.35">
      <c r="I72" s="19"/>
      <c r="K72" s="25"/>
      <c r="L72" s="25"/>
      <c r="Q72" s="14"/>
      <c r="S72" s="14"/>
      <c r="T72" s="8"/>
    </row>
    <row r="73" spans="9:20" s="6" customFormat="1" x14ac:dyDescent="0.35">
      <c r="I73" s="19"/>
      <c r="K73" s="25"/>
      <c r="L73" s="25"/>
      <c r="Q73" s="14"/>
      <c r="S73" s="14"/>
      <c r="T73" s="8"/>
    </row>
    <row r="74" spans="9:20" s="6" customFormat="1" x14ac:dyDescent="0.35">
      <c r="I74" s="19"/>
      <c r="K74" s="25"/>
      <c r="L74" s="25"/>
      <c r="Q74" s="14"/>
      <c r="S74" s="14"/>
      <c r="T74" s="8"/>
    </row>
    <row r="75" spans="9:20" s="6" customFormat="1" x14ac:dyDescent="0.35">
      <c r="I75" s="19"/>
      <c r="K75" s="25"/>
      <c r="L75" s="25"/>
      <c r="Q75" s="14"/>
      <c r="S75" s="14"/>
      <c r="T75" s="8"/>
    </row>
    <row r="76" spans="9:20" s="6" customFormat="1" x14ac:dyDescent="0.35">
      <c r="I76" s="19"/>
      <c r="K76" s="25"/>
      <c r="L76" s="25"/>
      <c r="Q76" s="14"/>
      <c r="S76" s="14"/>
      <c r="T76" s="8"/>
    </row>
    <row r="77" spans="9:20" s="6" customFormat="1" x14ac:dyDescent="0.35">
      <c r="I77" s="19"/>
      <c r="K77" s="25"/>
      <c r="L77" s="25"/>
      <c r="Q77" s="14"/>
      <c r="S77" s="14"/>
      <c r="T77" s="8"/>
    </row>
    <row r="78" spans="9:20" s="6" customFormat="1" x14ac:dyDescent="0.35">
      <c r="I78" s="19"/>
      <c r="K78" s="25"/>
      <c r="L78" s="25"/>
      <c r="Q78" s="14"/>
      <c r="S78" s="14"/>
      <c r="T78" s="8"/>
    </row>
    <row r="79" spans="9:20" s="6" customFormat="1" x14ac:dyDescent="0.35">
      <c r="I79" s="19"/>
      <c r="K79" s="25"/>
      <c r="L79" s="25"/>
      <c r="Q79" s="14"/>
      <c r="S79" s="14"/>
      <c r="T79" s="8"/>
    </row>
    <row r="80" spans="9:20" s="6" customFormat="1" x14ac:dyDescent="0.35">
      <c r="I80" s="19"/>
      <c r="K80" s="25"/>
      <c r="L80" s="25"/>
      <c r="Q80" s="14"/>
      <c r="S80" s="14"/>
      <c r="T80" s="8"/>
    </row>
    <row r="81" spans="9:20" s="6" customFormat="1" x14ac:dyDescent="0.35">
      <c r="I81" s="19"/>
      <c r="K81" s="25"/>
      <c r="L81" s="25"/>
      <c r="Q81" s="14"/>
      <c r="S81" s="14"/>
      <c r="T81" s="8"/>
    </row>
    <row r="82" spans="9:20" s="6" customFormat="1" x14ac:dyDescent="0.35">
      <c r="I82" s="19"/>
      <c r="K82" s="25"/>
      <c r="L82" s="25"/>
      <c r="Q82" s="14"/>
      <c r="S82" s="14"/>
      <c r="T82" s="8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F5BAD-1EC5-4732-9D71-79B1F33D3233}">
  <dimension ref="A1:U66"/>
  <sheetViews>
    <sheetView zoomScale="50" zoomScaleNormal="50" workbookViewId="0">
      <selection activeCell="G6" sqref="G6"/>
    </sheetView>
  </sheetViews>
  <sheetFormatPr defaultRowHeight="14.5" x14ac:dyDescent="0.35"/>
  <cols>
    <col min="1" max="1" width="4.08984375" style="6" customWidth="1"/>
    <col min="2" max="2" width="6.81640625" customWidth="1"/>
    <col min="3" max="3" width="15.453125" customWidth="1"/>
    <col min="4" max="4" width="22.1796875" customWidth="1"/>
    <col min="5" max="5" width="16.54296875" customWidth="1"/>
    <col min="6" max="6" width="16" customWidth="1"/>
    <col min="7" max="7" width="50.54296875" customWidth="1"/>
    <col min="8" max="8" width="7.453125" style="3" customWidth="1"/>
    <col min="9" max="9" width="18.7265625" customWidth="1"/>
    <col min="10" max="10" width="11.1796875" style="29" customWidth="1"/>
    <col min="11" max="11" width="13" style="29" customWidth="1"/>
    <col min="12" max="12" width="34.1796875" customWidth="1"/>
    <col min="13" max="13" width="10" customWidth="1"/>
    <col min="14" max="14" width="14.26953125" style="5" customWidth="1"/>
    <col min="15" max="15" width="18.81640625" customWidth="1"/>
    <col min="16" max="16" width="13.453125" style="5" customWidth="1"/>
    <col min="17" max="17" width="16.26953125" style="4" customWidth="1"/>
    <col min="18" max="18" width="13.26953125" customWidth="1"/>
  </cols>
  <sheetData>
    <row r="1" spans="2:18" ht="15.5" x14ac:dyDescent="0.35">
      <c r="B1" s="20"/>
      <c r="E1" s="61"/>
      <c r="G1" s="20"/>
      <c r="N1" s="63"/>
      <c r="O1" s="13"/>
      <c r="P1" s="48"/>
      <c r="Q1" s="58"/>
    </row>
    <row r="2" spans="2:18" ht="15.5" x14ac:dyDescent="0.35">
      <c r="B2" s="20"/>
      <c r="E2" s="61"/>
      <c r="G2" s="20"/>
      <c r="N2" s="63"/>
      <c r="O2" s="13"/>
      <c r="P2" s="48"/>
      <c r="Q2" s="58"/>
    </row>
    <row r="3" spans="2:18" x14ac:dyDescent="0.35">
      <c r="H3"/>
      <c r="N3" s="63"/>
      <c r="O3" s="13"/>
      <c r="P3" s="48"/>
      <c r="Q3" s="58"/>
    </row>
    <row r="4" spans="2:18" x14ac:dyDescent="0.35">
      <c r="H4"/>
      <c r="N4" s="63"/>
      <c r="O4" s="13"/>
      <c r="P4" s="48"/>
      <c r="Q4" s="58"/>
    </row>
    <row r="5" spans="2:18" x14ac:dyDescent="0.35">
      <c r="H5"/>
      <c r="N5" s="63"/>
      <c r="O5" s="13"/>
      <c r="P5" s="48"/>
      <c r="Q5" s="58"/>
    </row>
    <row r="6" spans="2:18" x14ac:dyDescent="0.35">
      <c r="H6"/>
      <c r="N6" s="63"/>
      <c r="O6" s="13"/>
      <c r="P6" s="48"/>
      <c r="Q6" s="58"/>
    </row>
    <row r="7" spans="2:18" x14ac:dyDescent="0.35">
      <c r="H7"/>
      <c r="N7" s="63"/>
      <c r="O7" s="13"/>
      <c r="P7" s="48"/>
      <c r="Q7" s="58"/>
    </row>
    <row r="8" spans="2:18" x14ac:dyDescent="0.35">
      <c r="H8"/>
      <c r="N8" s="63"/>
      <c r="O8" s="13"/>
      <c r="P8" s="48"/>
      <c r="Q8" s="58"/>
    </row>
    <row r="9" spans="2:18" x14ac:dyDescent="0.35">
      <c r="H9"/>
      <c r="N9" s="63"/>
      <c r="O9" s="13"/>
      <c r="P9" s="48"/>
      <c r="Q9" s="58"/>
    </row>
    <row r="10" spans="2:18" ht="23.5" x14ac:dyDescent="0.55000000000000004">
      <c r="B10" s="119" t="s">
        <v>652</v>
      </c>
      <c r="H10"/>
      <c r="N10" s="63"/>
      <c r="O10" s="13"/>
      <c r="P10" s="48"/>
      <c r="Q10" s="58"/>
    </row>
    <row r="11" spans="2:18" x14ac:dyDescent="0.35">
      <c r="B11" s="1" t="s">
        <v>503</v>
      </c>
      <c r="H11"/>
      <c r="N11" s="63"/>
      <c r="O11" s="13"/>
      <c r="P11" s="48"/>
      <c r="Q11" s="58"/>
    </row>
    <row r="12" spans="2:18" x14ac:dyDescent="0.35">
      <c r="B12" s="120" t="s">
        <v>500</v>
      </c>
      <c r="H12"/>
      <c r="N12" s="63"/>
      <c r="O12" s="13"/>
      <c r="P12" s="48"/>
      <c r="Q12" s="58"/>
    </row>
    <row r="13" spans="2:18" x14ac:dyDescent="0.35">
      <c r="H13"/>
      <c r="I13" t="s">
        <v>504</v>
      </c>
      <c r="M13" s="69" t="s">
        <v>547</v>
      </c>
      <c r="N13" s="67"/>
      <c r="O13" s="13"/>
      <c r="P13" s="68" t="s">
        <v>548</v>
      </c>
      <c r="Q13" s="66"/>
    </row>
    <row r="14" spans="2:18" ht="15.5" x14ac:dyDescent="0.35">
      <c r="B14" s="20"/>
      <c r="E14" s="61"/>
      <c r="G14" s="20"/>
      <c r="M14" s="69"/>
      <c r="N14" s="67"/>
      <c r="O14" s="13"/>
      <c r="P14" s="68"/>
      <c r="Q14" s="66"/>
    </row>
    <row r="15" spans="2:18" ht="15.5" x14ac:dyDescent="0.35">
      <c r="B15" s="26" t="s">
        <v>596</v>
      </c>
      <c r="I15" s="6"/>
      <c r="L15" s="4"/>
      <c r="M15" s="69"/>
      <c r="N15" s="67"/>
      <c r="O15" s="62"/>
      <c r="P15" s="68"/>
      <c r="Q15" s="66"/>
      <c r="R15" s="7"/>
    </row>
    <row r="16" spans="2:18" s="39" customFormat="1" ht="66" customHeight="1" x14ac:dyDescent="0.35">
      <c r="B16" s="39" t="s">
        <v>360</v>
      </c>
      <c r="C16" s="39" t="s">
        <v>156</v>
      </c>
      <c r="D16" s="28" t="s">
        <v>361</v>
      </c>
      <c r="E16" s="39" t="s">
        <v>155</v>
      </c>
      <c r="F16" s="39" t="s">
        <v>190</v>
      </c>
      <c r="G16" s="39" t="s">
        <v>154</v>
      </c>
      <c r="H16" s="40" t="s">
        <v>198</v>
      </c>
      <c r="I16" s="41" t="s">
        <v>194</v>
      </c>
      <c r="J16" s="42" t="s">
        <v>402</v>
      </c>
      <c r="K16" s="42" t="s">
        <v>150</v>
      </c>
      <c r="L16" s="43" t="s">
        <v>213</v>
      </c>
      <c r="M16" s="41" t="s">
        <v>207</v>
      </c>
      <c r="N16" s="43" t="s">
        <v>204</v>
      </c>
      <c r="O16" s="43" t="s">
        <v>206</v>
      </c>
      <c r="P16" s="57" t="s">
        <v>334</v>
      </c>
      <c r="Q16" s="46" t="s">
        <v>335</v>
      </c>
      <c r="R16" s="39" t="s">
        <v>153</v>
      </c>
    </row>
    <row r="17" spans="1:18" s="15" customFormat="1" x14ac:dyDescent="0.35">
      <c r="C17" s="15" t="s">
        <v>17</v>
      </c>
      <c r="D17" s="15" t="s">
        <v>17</v>
      </c>
      <c r="E17" s="15" t="s">
        <v>131</v>
      </c>
      <c r="G17" s="15" t="s">
        <v>611</v>
      </c>
      <c r="H17" s="35">
        <v>6</v>
      </c>
      <c r="I17" s="15" t="s">
        <v>508</v>
      </c>
      <c r="J17" s="34"/>
      <c r="K17" s="34">
        <v>2018</v>
      </c>
      <c r="L17" s="15" t="s">
        <v>250</v>
      </c>
      <c r="M17" s="15">
        <v>1</v>
      </c>
      <c r="N17" s="24">
        <v>10</v>
      </c>
      <c r="O17" s="98">
        <v>1</v>
      </c>
      <c r="P17" s="24">
        <v>1</v>
      </c>
      <c r="Q17" s="32">
        <v>10</v>
      </c>
      <c r="R17" s="136" t="s">
        <v>27</v>
      </c>
    </row>
    <row r="18" spans="1:18" s="15" customFormat="1" x14ac:dyDescent="0.35">
      <c r="C18" s="49" t="s">
        <v>9</v>
      </c>
      <c r="D18" s="15" t="s">
        <v>9</v>
      </c>
      <c r="E18" s="15" t="s">
        <v>29</v>
      </c>
      <c r="F18" s="15" t="s">
        <v>121</v>
      </c>
      <c r="G18" s="15" t="s">
        <v>428</v>
      </c>
      <c r="H18" s="35">
        <v>3</v>
      </c>
      <c r="I18" s="15" t="s">
        <v>66</v>
      </c>
      <c r="J18" s="34">
        <v>2022</v>
      </c>
      <c r="K18" s="34"/>
      <c r="L18" s="49" t="s">
        <v>242</v>
      </c>
      <c r="M18" s="109">
        <v>1</v>
      </c>
      <c r="N18" s="24">
        <v>1000</v>
      </c>
      <c r="O18" s="123">
        <v>1</v>
      </c>
      <c r="P18" s="24">
        <f>M18*O18</f>
        <v>1</v>
      </c>
      <c r="Q18" s="32">
        <f>N18*O18</f>
        <v>1000</v>
      </c>
      <c r="R18" s="21" t="s">
        <v>425</v>
      </c>
    </row>
    <row r="19" spans="1:18" s="15" customFormat="1" x14ac:dyDescent="0.35">
      <c r="A19" s="36"/>
      <c r="C19" s="49" t="s">
        <v>9</v>
      </c>
      <c r="D19" s="15" t="s">
        <v>9</v>
      </c>
      <c r="E19" s="15" t="s">
        <v>29</v>
      </c>
      <c r="F19" s="15" t="s">
        <v>121</v>
      </c>
      <c r="G19" s="15" t="s">
        <v>426</v>
      </c>
      <c r="H19" s="35">
        <v>3</v>
      </c>
      <c r="I19" s="15" t="s">
        <v>66</v>
      </c>
      <c r="J19" s="34">
        <v>2022</v>
      </c>
      <c r="K19" s="34"/>
      <c r="L19" s="49" t="s">
        <v>242</v>
      </c>
      <c r="M19" s="109">
        <v>-1</v>
      </c>
      <c r="N19" s="24">
        <v>-225</v>
      </c>
      <c r="O19" s="123">
        <v>1</v>
      </c>
      <c r="P19" s="24">
        <v>-1</v>
      </c>
      <c r="Q19" s="32">
        <v>-225</v>
      </c>
    </row>
    <row r="20" spans="1:18" s="15" customFormat="1" x14ac:dyDescent="0.35">
      <c r="B20" s="6"/>
      <c r="C20" s="50" t="s">
        <v>9</v>
      </c>
      <c r="D20" s="6" t="s">
        <v>9</v>
      </c>
      <c r="E20" s="47" t="s">
        <v>188</v>
      </c>
      <c r="F20" s="47" t="s">
        <v>122</v>
      </c>
      <c r="G20" s="47" t="s">
        <v>613</v>
      </c>
      <c r="H20" s="19">
        <v>3</v>
      </c>
      <c r="I20" s="15" t="s">
        <v>66</v>
      </c>
      <c r="J20" s="25">
        <v>2022</v>
      </c>
      <c r="K20" s="25"/>
      <c r="L20" s="6" t="s">
        <v>644</v>
      </c>
      <c r="M20" s="64">
        <v>1</v>
      </c>
      <c r="N20" s="22">
        <v>1000</v>
      </c>
      <c r="O20" s="10">
        <v>1</v>
      </c>
      <c r="P20" s="14">
        <f>M20*O20</f>
        <v>1</v>
      </c>
      <c r="Q20" s="8">
        <f>N20*O20</f>
        <v>1000</v>
      </c>
      <c r="R20" s="7" t="s">
        <v>425</v>
      </c>
    </row>
    <row r="21" spans="1:18" s="15" customFormat="1" x14ac:dyDescent="0.35">
      <c r="B21" s="6"/>
      <c r="C21" s="50" t="s">
        <v>9</v>
      </c>
      <c r="D21" s="6" t="s">
        <v>9</v>
      </c>
      <c r="E21" s="47" t="s">
        <v>188</v>
      </c>
      <c r="F21" s="47" t="s">
        <v>122</v>
      </c>
      <c r="G21" s="47" t="s">
        <v>614</v>
      </c>
      <c r="H21" s="19">
        <v>3</v>
      </c>
      <c r="I21" s="11" t="s">
        <v>66</v>
      </c>
      <c r="J21" s="25">
        <v>2022</v>
      </c>
      <c r="K21" s="25"/>
      <c r="L21" s="6" t="s">
        <v>644</v>
      </c>
      <c r="M21" s="64">
        <f>P21/O21</f>
        <v>0</v>
      </c>
      <c r="N21" s="22">
        <f>Q21/O21</f>
        <v>0</v>
      </c>
      <c r="O21" s="10">
        <v>1</v>
      </c>
      <c r="P21" s="14"/>
      <c r="Q21" s="8"/>
      <c r="R21" s="6"/>
    </row>
    <row r="22" spans="1:18" s="15" customFormat="1" x14ac:dyDescent="0.35">
      <c r="C22" s="49" t="s">
        <v>9</v>
      </c>
      <c r="D22" s="15" t="s">
        <v>9</v>
      </c>
      <c r="E22" s="36" t="s">
        <v>29</v>
      </c>
      <c r="F22" s="36" t="s">
        <v>121</v>
      </c>
      <c r="G22" s="15" t="s">
        <v>340</v>
      </c>
      <c r="H22" s="35">
        <v>1</v>
      </c>
      <c r="I22" s="15" t="s">
        <v>65</v>
      </c>
      <c r="J22" s="34" t="s">
        <v>147</v>
      </c>
      <c r="K22" s="34"/>
      <c r="L22" s="49" t="s">
        <v>242</v>
      </c>
      <c r="M22" s="109">
        <v>1</v>
      </c>
      <c r="N22" s="24">
        <v>225</v>
      </c>
      <c r="O22" s="123">
        <v>1</v>
      </c>
      <c r="P22" s="24">
        <v>1</v>
      </c>
      <c r="Q22" s="32">
        <v>225</v>
      </c>
    </row>
    <row r="23" spans="1:18" s="15" customFormat="1" x14ac:dyDescent="0.35">
      <c r="B23" s="21"/>
      <c r="C23" s="49" t="s">
        <v>9</v>
      </c>
      <c r="D23" s="15" t="s">
        <v>9</v>
      </c>
      <c r="E23" s="15" t="s">
        <v>188</v>
      </c>
      <c r="F23" s="15" t="s">
        <v>265</v>
      </c>
      <c r="G23" s="15" t="s">
        <v>498</v>
      </c>
      <c r="H23" s="35">
        <v>1</v>
      </c>
      <c r="I23" s="15" t="s">
        <v>65</v>
      </c>
      <c r="J23" s="34">
        <v>2018</v>
      </c>
      <c r="K23" s="34"/>
      <c r="L23" s="15" t="s">
        <v>645</v>
      </c>
      <c r="M23" s="15">
        <v>1</v>
      </c>
      <c r="N23" s="24">
        <v>900</v>
      </c>
      <c r="O23" s="98">
        <v>1</v>
      </c>
      <c r="P23" s="24">
        <v>1</v>
      </c>
      <c r="Q23" s="32">
        <v>900</v>
      </c>
      <c r="R23" s="15" t="s">
        <v>27</v>
      </c>
    </row>
    <row r="24" spans="1:18" s="15" customFormat="1" x14ac:dyDescent="0.35">
      <c r="C24" s="49" t="s">
        <v>9</v>
      </c>
      <c r="D24" s="15" t="s">
        <v>9</v>
      </c>
      <c r="E24" s="137" t="s">
        <v>179</v>
      </c>
      <c r="F24" s="137" t="s">
        <v>120</v>
      </c>
      <c r="G24" s="15" t="s">
        <v>266</v>
      </c>
      <c r="H24" s="65">
        <v>6</v>
      </c>
      <c r="I24" s="15" t="s">
        <v>508</v>
      </c>
      <c r="J24" s="34"/>
      <c r="K24" s="105">
        <v>2021</v>
      </c>
      <c r="L24" s="15" t="s">
        <v>646</v>
      </c>
      <c r="M24" s="30"/>
      <c r="N24" s="24"/>
      <c r="O24" s="123"/>
      <c r="P24" s="24"/>
      <c r="Q24" s="32"/>
    </row>
    <row r="25" spans="1:18" s="15" customFormat="1" x14ac:dyDescent="0.35">
      <c r="C25" s="49" t="s">
        <v>9</v>
      </c>
      <c r="D25" s="15" t="s">
        <v>9</v>
      </c>
      <c r="E25" s="36" t="s">
        <v>179</v>
      </c>
      <c r="F25" s="36" t="s">
        <v>273</v>
      </c>
      <c r="G25" s="36" t="s">
        <v>395</v>
      </c>
      <c r="H25" s="65">
        <v>6</v>
      </c>
      <c r="I25" s="15" t="s">
        <v>508</v>
      </c>
      <c r="J25" s="34"/>
      <c r="K25" s="105">
        <v>2021</v>
      </c>
      <c r="L25" s="15" t="s">
        <v>647</v>
      </c>
      <c r="M25" s="15">
        <v>1</v>
      </c>
      <c r="N25" s="24">
        <v>80</v>
      </c>
      <c r="O25" s="98">
        <v>1</v>
      </c>
      <c r="P25" s="24">
        <v>1</v>
      </c>
      <c r="Q25" s="32">
        <v>80</v>
      </c>
      <c r="R25" s="109" t="s">
        <v>27</v>
      </c>
    </row>
    <row r="26" spans="1:18" s="15" customFormat="1" x14ac:dyDescent="0.35">
      <c r="A26" s="36"/>
      <c r="C26" s="15" t="s">
        <v>1</v>
      </c>
      <c r="D26" s="15" t="s">
        <v>1</v>
      </c>
      <c r="E26" s="15" t="s">
        <v>269</v>
      </c>
      <c r="F26" s="15" t="s">
        <v>212</v>
      </c>
      <c r="G26" s="15" t="s">
        <v>597</v>
      </c>
      <c r="H26" s="35">
        <v>1</v>
      </c>
      <c r="I26" s="15" t="s">
        <v>65</v>
      </c>
      <c r="J26" s="34">
        <v>2020</v>
      </c>
      <c r="K26" s="34"/>
      <c r="L26" s="15" t="s">
        <v>218</v>
      </c>
      <c r="M26" s="15">
        <v>1</v>
      </c>
      <c r="N26" s="24">
        <v>10</v>
      </c>
      <c r="O26" s="98">
        <v>1</v>
      </c>
      <c r="P26" s="24">
        <v>1</v>
      </c>
      <c r="Q26" s="32">
        <v>10</v>
      </c>
      <c r="R26" s="15" t="s">
        <v>27</v>
      </c>
    </row>
    <row r="27" spans="1:18" s="15" customFormat="1" x14ac:dyDescent="0.35">
      <c r="C27" s="15" t="s">
        <v>1</v>
      </c>
      <c r="D27" s="15" t="s">
        <v>1</v>
      </c>
      <c r="E27" s="15" t="s">
        <v>269</v>
      </c>
      <c r="F27" s="15" t="s">
        <v>146</v>
      </c>
      <c r="G27" s="15" t="s">
        <v>600</v>
      </c>
      <c r="H27" s="35">
        <v>1</v>
      </c>
      <c r="I27" s="15" t="s">
        <v>65</v>
      </c>
      <c r="J27" s="133">
        <v>2017</v>
      </c>
      <c r="K27" s="133"/>
      <c r="L27" s="15" t="s">
        <v>166</v>
      </c>
      <c r="M27" s="109">
        <f>P27/O27</f>
        <v>1</v>
      </c>
      <c r="N27" s="24">
        <f>Q27/O27</f>
        <v>10</v>
      </c>
      <c r="O27" s="123">
        <v>1</v>
      </c>
      <c r="P27" s="15">
        <v>1</v>
      </c>
      <c r="Q27" s="32">
        <v>10</v>
      </c>
      <c r="R27" s="15" t="s">
        <v>27</v>
      </c>
    </row>
    <row r="28" spans="1:18" s="15" customFormat="1" x14ac:dyDescent="0.35">
      <c r="C28" s="15" t="s">
        <v>1</v>
      </c>
      <c r="D28" s="15" t="s">
        <v>1</v>
      </c>
      <c r="E28" s="15" t="s">
        <v>339</v>
      </c>
      <c r="F28" s="15" t="s">
        <v>195</v>
      </c>
      <c r="G28" s="15" t="s">
        <v>601</v>
      </c>
      <c r="H28" s="35">
        <v>1</v>
      </c>
      <c r="I28" s="15" t="s">
        <v>65</v>
      </c>
      <c r="J28" s="34">
        <v>2018</v>
      </c>
      <c r="K28" s="34"/>
      <c r="L28" s="15" t="s">
        <v>389</v>
      </c>
      <c r="M28" s="15">
        <v>1</v>
      </c>
      <c r="N28" s="24">
        <v>10</v>
      </c>
      <c r="O28" s="98">
        <v>1</v>
      </c>
      <c r="P28" s="24">
        <v>1</v>
      </c>
      <c r="Q28" s="134">
        <v>10</v>
      </c>
      <c r="R28" s="15" t="s">
        <v>27</v>
      </c>
    </row>
    <row r="29" spans="1:18" s="15" customFormat="1" x14ac:dyDescent="0.35">
      <c r="C29" s="15" t="s">
        <v>1</v>
      </c>
      <c r="D29" s="15" t="s">
        <v>1</v>
      </c>
      <c r="E29" s="15" t="s">
        <v>339</v>
      </c>
      <c r="F29" s="15" t="s">
        <v>195</v>
      </c>
      <c r="G29" s="15" t="s">
        <v>602</v>
      </c>
      <c r="H29" s="35">
        <v>1</v>
      </c>
      <c r="I29" s="15" t="s">
        <v>65</v>
      </c>
      <c r="J29" s="34">
        <v>2019</v>
      </c>
      <c r="K29" s="34"/>
      <c r="L29" s="15" t="s">
        <v>389</v>
      </c>
      <c r="M29" s="15">
        <v>1</v>
      </c>
      <c r="N29" s="24">
        <v>10</v>
      </c>
      <c r="O29" s="98">
        <v>1</v>
      </c>
      <c r="P29" s="24">
        <v>1</v>
      </c>
      <c r="Q29" s="134">
        <v>10</v>
      </c>
      <c r="R29" s="15" t="s">
        <v>27</v>
      </c>
    </row>
    <row r="30" spans="1:18" s="15" customFormat="1" x14ac:dyDescent="0.35">
      <c r="C30" s="15" t="s">
        <v>1</v>
      </c>
      <c r="D30" s="15" t="s">
        <v>1</v>
      </c>
      <c r="E30" s="15" t="s">
        <v>112</v>
      </c>
      <c r="G30" s="15" t="s">
        <v>607</v>
      </c>
      <c r="H30" s="35">
        <v>1</v>
      </c>
      <c r="I30" s="15" t="s">
        <v>65</v>
      </c>
      <c r="J30" s="34">
        <v>2018</v>
      </c>
      <c r="K30" s="34"/>
      <c r="L30" s="15" t="s">
        <v>650</v>
      </c>
      <c r="M30" s="15">
        <v>1</v>
      </c>
      <c r="N30" s="24">
        <v>10</v>
      </c>
      <c r="O30" s="98">
        <v>1</v>
      </c>
      <c r="P30" s="24">
        <v>1</v>
      </c>
      <c r="Q30" s="134">
        <v>10</v>
      </c>
      <c r="R30" s="15" t="s">
        <v>27</v>
      </c>
    </row>
    <row r="31" spans="1:18" s="15" customFormat="1" x14ac:dyDescent="0.35">
      <c r="C31" s="15" t="s">
        <v>1</v>
      </c>
      <c r="D31" s="15" t="s">
        <v>1</v>
      </c>
      <c r="E31" s="15" t="s">
        <v>339</v>
      </c>
      <c r="F31" s="15" t="s">
        <v>195</v>
      </c>
      <c r="G31" s="15" t="s">
        <v>608</v>
      </c>
      <c r="H31" s="35">
        <v>1</v>
      </c>
      <c r="I31" s="15" t="s">
        <v>65</v>
      </c>
      <c r="J31" s="34">
        <v>2018</v>
      </c>
      <c r="K31" s="34"/>
      <c r="L31" s="15" t="s">
        <v>389</v>
      </c>
      <c r="M31" s="15">
        <v>1</v>
      </c>
      <c r="N31" s="24">
        <v>10</v>
      </c>
      <c r="O31" s="98">
        <v>1</v>
      </c>
      <c r="P31" s="24">
        <v>1</v>
      </c>
      <c r="Q31" s="134">
        <v>10</v>
      </c>
      <c r="R31" s="15" t="s">
        <v>27</v>
      </c>
    </row>
    <row r="32" spans="1:18" s="15" customFormat="1" x14ac:dyDescent="0.35">
      <c r="C32" s="15" t="s">
        <v>1</v>
      </c>
      <c r="D32" s="15" t="s">
        <v>1</v>
      </c>
      <c r="E32" s="15" t="s">
        <v>298</v>
      </c>
      <c r="F32" s="15" t="s">
        <v>111</v>
      </c>
      <c r="G32" s="15" t="s">
        <v>610</v>
      </c>
      <c r="H32" s="35">
        <v>1</v>
      </c>
      <c r="I32" s="15" t="s">
        <v>65</v>
      </c>
      <c r="J32" s="34">
        <v>2018</v>
      </c>
      <c r="K32" s="34"/>
      <c r="L32" s="15" t="s">
        <v>249</v>
      </c>
      <c r="M32" s="15">
        <v>2</v>
      </c>
      <c r="N32" s="24">
        <v>20</v>
      </c>
      <c r="O32" s="98">
        <v>1</v>
      </c>
      <c r="P32" s="24">
        <v>2</v>
      </c>
      <c r="Q32" s="32">
        <v>20</v>
      </c>
      <c r="R32" s="15" t="s">
        <v>27</v>
      </c>
    </row>
    <row r="33" spans="1:21" s="15" customFormat="1" x14ac:dyDescent="0.35">
      <c r="C33" s="15" t="s">
        <v>1</v>
      </c>
      <c r="D33" s="15" t="s">
        <v>1</v>
      </c>
      <c r="E33" s="15" t="s">
        <v>298</v>
      </c>
      <c r="F33" s="15" t="s">
        <v>133</v>
      </c>
      <c r="G33" s="15" t="s">
        <v>612</v>
      </c>
      <c r="H33" s="35">
        <v>1</v>
      </c>
      <c r="I33" s="15" t="s">
        <v>65</v>
      </c>
      <c r="J33" s="34">
        <v>2020</v>
      </c>
      <c r="K33" s="34"/>
      <c r="L33" s="15" t="s">
        <v>245</v>
      </c>
      <c r="M33" s="15">
        <v>2</v>
      </c>
      <c r="N33" s="24">
        <f>2*15</f>
        <v>30</v>
      </c>
      <c r="O33" s="98">
        <v>1</v>
      </c>
      <c r="P33" s="24">
        <v>2</v>
      </c>
      <c r="Q33" s="32">
        <v>30</v>
      </c>
      <c r="R33" s="15" t="s">
        <v>27</v>
      </c>
    </row>
    <row r="34" spans="1:21" s="15" customFormat="1" x14ac:dyDescent="0.35">
      <c r="C34" s="15" t="s">
        <v>1</v>
      </c>
      <c r="D34" s="15" t="s">
        <v>1</v>
      </c>
      <c r="E34" s="15" t="s">
        <v>269</v>
      </c>
      <c r="F34" s="15" t="s">
        <v>271</v>
      </c>
      <c r="G34" s="15" t="s">
        <v>598</v>
      </c>
      <c r="H34" s="35">
        <v>6</v>
      </c>
      <c r="I34" s="15" t="s">
        <v>508</v>
      </c>
      <c r="J34" s="34"/>
      <c r="K34" s="34">
        <v>2021</v>
      </c>
      <c r="L34" s="15" t="s">
        <v>272</v>
      </c>
      <c r="M34" s="15">
        <v>1</v>
      </c>
      <c r="N34" s="24">
        <v>10</v>
      </c>
      <c r="O34" s="98">
        <v>1</v>
      </c>
      <c r="P34" s="24">
        <v>1</v>
      </c>
      <c r="Q34" s="138">
        <v>10</v>
      </c>
      <c r="R34" s="15" t="s">
        <v>27</v>
      </c>
    </row>
    <row r="35" spans="1:21" s="15" customFormat="1" x14ac:dyDescent="0.35">
      <c r="A35" s="36"/>
      <c r="C35" s="15" t="s">
        <v>1</v>
      </c>
      <c r="D35" s="15" t="s">
        <v>1</v>
      </c>
      <c r="E35" s="15" t="s">
        <v>269</v>
      </c>
      <c r="F35" s="15" t="s">
        <v>131</v>
      </c>
      <c r="G35" s="15" t="s">
        <v>599</v>
      </c>
      <c r="H35" s="35">
        <v>6</v>
      </c>
      <c r="I35" s="15" t="s">
        <v>508</v>
      </c>
      <c r="J35" s="34"/>
      <c r="K35" s="34">
        <v>2021</v>
      </c>
      <c r="L35" s="15" t="s">
        <v>108</v>
      </c>
      <c r="M35" s="15">
        <v>1</v>
      </c>
      <c r="N35" s="24">
        <v>10</v>
      </c>
      <c r="O35" s="98">
        <v>1</v>
      </c>
      <c r="P35" s="24">
        <v>1</v>
      </c>
      <c r="Q35" s="32">
        <v>10</v>
      </c>
      <c r="R35" s="15" t="s">
        <v>27</v>
      </c>
    </row>
    <row r="36" spans="1:21" s="15" customFormat="1" x14ac:dyDescent="0.35">
      <c r="C36" s="15" t="s">
        <v>1</v>
      </c>
      <c r="D36" s="15" t="s">
        <v>1</v>
      </c>
      <c r="E36" s="36" t="s">
        <v>269</v>
      </c>
      <c r="F36" s="36" t="s">
        <v>132</v>
      </c>
      <c r="G36" s="36" t="s">
        <v>603</v>
      </c>
      <c r="H36" s="35">
        <v>6</v>
      </c>
      <c r="I36" s="15" t="s">
        <v>508</v>
      </c>
      <c r="J36" s="34"/>
      <c r="K36" s="34">
        <v>2021</v>
      </c>
      <c r="L36" s="15" t="s">
        <v>234</v>
      </c>
      <c r="N36" s="24"/>
      <c r="P36" s="24">
        <v>1</v>
      </c>
      <c r="Q36" s="32">
        <v>10</v>
      </c>
      <c r="R36" s="15" t="s">
        <v>27</v>
      </c>
    </row>
    <row r="37" spans="1:21" s="15" customFormat="1" x14ac:dyDescent="0.35">
      <c r="C37" s="15" t="s">
        <v>1</v>
      </c>
      <c r="D37" s="15" t="s">
        <v>1</v>
      </c>
      <c r="E37" s="15" t="s">
        <v>298</v>
      </c>
      <c r="F37" s="15" t="s">
        <v>160</v>
      </c>
      <c r="G37" s="15" t="s">
        <v>604</v>
      </c>
      <c r="H37" s="35">
        <v>6</v>
      </c>
      <c r="I37" s="15" t="s">
        <v>508</v>
      </c>
      <c r="J37" s="34"/>
      <c r="K37" s="34">
        <v>2021</v>
      </c>
      <c r="L37" s="15" t="s">
        <v>235</v>
      </c>
      <c r="M37" s="15">
        <v>3</v>
      </c>
      <c r="N37" s="24">
        <f>Tabel22[[#This Row],[AANTAL WIND-TURBINES]]*10</f>
        <v>30</v>
      </c>
      <c r="O37" s="98">
        <v>1</v>
      </c>
      <c r="P37" s="24">
        <v>3</v>
      </c>
      <c r="Q37" s="32">
        <f>Tabel22[[#This Row],[AANTAL WIND-TURBINES COÖPERATIEF]]*10</f>
        <v>30</v>
      </c>
      <c r="R37" s="15" t="s">
        <v>27</v>
      </c>
    </row>
    <row r="38" spans="1:21" s="15" customFormat="1" x14ac:dyDescent="0.35">
      <c r="C38" s="15" t="s">
        <v>1</v>
      </c>
      <c r="D38" s="15" t="s">
        <v>1</v>
      </c>
      <c r="E38" s="36" t="s">
        <v>1</v>
      </c>
      <c r="F38" s="36"/>
      <c r="G38" s="15" t="s">
        <v>605</v>
      </c>
      <c r="H38" s="35">
        <v>6</v>
      </c>
      <c r="I38" s="15" t="s">
        <v>508</v>
      </c>
      <c r="J38" s="34"/>
      <c r="K38" s="34">
        <v>2021</v>
      </c>
      <c r="L38" s="15" t="s">
        <v>26</v>
      </c>
      <c r="N38" s="24"/>
      <c r="P38" s="24">
        <v>1</v>
      </c>
      <c r="Q38" s="32">
        <v>10</v>
      </c>
      <c r="R38" s="15" t="s">
        <v>27</v>
      </c>
    </row>
    <row r="39" spans="1:21" s="15" customFormat="1" x14ac:dyDescent="0.35">
      <c r="C39" s="15" t="s">
        <v>1</v>
      </c>
      <c r="D39" s="15" t="s">
        <v>1</v>
      </c>
      <c r="E39" s="15" t="s">
        <v>298</v>
      </c>
      <c r="G39" s="15" t="s">
        <v>606</v>
      </c>
      <c r="H39" s="35">
        <v>6</v>
      </c>
      <c r="I39" s="15" t="s">
        <v>508</v>
      </c>
      <c r="J39" s="34"/>
      <c r="K39" s="34">
        <v>2021</v>
      </c>
      <c r="L39" s="15" t="s">
        <v>110</v>
      </c>
      <c r="P39" s="15">
        <v>1</v>
      </c>
      <c r="Q39" s="35">
        <v>10</v>
      </c>
      <c r="R39" s="15" t="s">
        <v>27</v>
      </c>
    </row>
    <row r="40" spans="1:21" s="15" customFormat="1" x14ac:dyDescent="0.35">
      <c r="C40" s="15" t="s">
        <v>1</v>
      </c>
      <c r="D40" s="15" t="s">
        <v>1</v>
      </c>
      <c r="E40" s="15" t="s">
        <v>1</v>
      </c>
      <c r="F40" s="15" t="s">
        <v>192</v>
      </c>
      <c r="G40" s="15" t="s">
        <v>398</v>
      </c>
      <c r="H40" s="35">
        <v>6</v>
      </c>
      <c r="I40" s="15" t="s">
        <v>508</v>
      </c>
      <c r="J40" s="34"/>
      <c r="K40" s="34">
        <v>2021</v>
      </c>
      <c r="L40" s="15" t="s">
        <v>193</v>
      </c>
      <c r="M40" s="15">
        <v>1</v>
      </c>
      <c r="N40" s="24">
        <v>10</v>
      </c>
      <c r="O40" s="98">
        <v>1</v>
      </c>
      <c r="P40" s="24">
        <v>1</v>
      </c>
      <c r="Q40" s="32">
        <v>10</v>
      </c>
      <c r="R40" s="15" t="s">
        <v>27</v>
      </c>
    </row>
    <row r="41" spans="1:21" s="15" customFormat="1" x14ac:dyDescent="0.35">
      <c r="C41" s="15" t="s">
        <v>1</v>
      </c>
      <c r="D41" s="15" t="s">
        <v>1</v>
      </c>
      <c r="E41" s="15" t="s">
        <v>270</v>
      </c>
      <c r="G41" s="15" t="s">
        <v>399</v>
      </c>
      <c r="H41" s="35">
        <v>6</v>
      </c>
      <c r="I41" s="15" t="s">
        <v>508</v>
      </c>
      <c r="J41" s="34"/>
      <c r="K41" s="34">
        <v>2021</v>
      </c>
      <c r="L41" s="15" t="s">
        <v>109</v>
      </c>
      <c r="M41" s="15">
        <v>1</v>
      </c>
      <c r="N41" s="24">
        <v>10</v>
      </c>
      <c r="O41" s="98">
        <v>1</v>
      </c>
      <c r="P41" s="24">
        <v>1</v>
      </c>
      <c r="Q41" s="32">
        <v>10</v>
      </c>
      <c r="R41" s="15" t="s">
        <v>27</v>
      </c>
    </row>
    <row r="42" spans="1:21" s="15" customFormat="1" x14ac:dyDescent="0.35">
      <c r="A42" s="36"/>
      <c r="C42" s="15" t="s">
        <v>1</v>
      </c>
      <c r="D42" s="15" t="s">
        <v>1</v>
      </c>
      <c r="E42" s="15" t="s">
        <v>1</v>
      </c>
      <c r="G42" s="15" t="s">
        <v>609</v>
      </c>
      <c r="H42" s="35">
        <v>4</v>
      </c>
      <c r="I42" s="15" t="s">
        <v>28</v>
      </c>
      <c r="J42" s="34">
        <v>2023</v>
      </c>
      <c r="K42" s="34"/>
      <c r="L42" s="15" t="s">
        <v>400</v>
      </c>
      <c r="M42" s="15">
        <v>2</v>
      </c>
      <c r="N42" s="24">
        <f>2*60</f>
        <v>120</v>
      </c>
      <c r="O42" s="98">
        <v>1</v>
      </c>
      <c r="P42" s="24">
        <f>M42*O42</f>
        <v>2</v>
      </c>
      <c r="Q42" s="32">
        <f>N42*O42</f>
        <v>120</v>
      </c>
      <c r="R42" s="15" t="s">
        <v>425</v>
      </c>
    </row>
    <row r="43" spans="1:21" s="15" customFormat="1" x14ac:dyDescent="0.35">
      <c r="C43" s="15" t="s">
        <v>7</v>
      </c>
      <c r="D43" s="15" t="s">
        <v>282</v>
      </c>
      <c r="E43" s="15" t="s">
        <v>197</v>
      </c>
      <c r="F43" s="15" t="s">
        <v>294</v>
      </c>
      <c r="G43" s="15" t="s">
        <v>450</v>
      </c>
      <c r="H43" s="35">
        <v>1</v>
      </c>
      <c r="I43" s="15" t="s">
        <v>65</v>
      </c>
      <c r="J43" s="34">
        <v>2019</v>
      </c>
      <c r="K43" s="34"/>
      <c r="L43" s="15" t="s">
        <v>57</v>
      </c>
      <c r="M43" s="15">
        <v>1</v>
      </c>
      <c r="N43" s="24">
        <v>80</v>
      </c>
      <c r="O43" s="98">
        <v>1</v>
      </c>
      <c r="P43" s="24">
        <v>1</v>
      </c>
      <c r="Q43" s="32">
        <f>0.08*1000</f>
        <v>80</v>
      </c>
      <c r="R43" s="21" t="s">
        <v>27</v>
      </c>
      <c r="T43" s="23"/>
      <c r="U43" s="23"/>
    </row>
    <row r="44" spans="1:21" s="6" customFormat="1" x14ac:dyDescent="0.35">
      <c r="A44" s="47"/>
      <c r="B44" s="15"/>
      <c r="C44" s="49" t="s">
        <v>7</v>
      </c>
      <c r="D44" s="15" t="s">
        <v>282</v>
      </c>
      <c r="E44" s="15" t="s">
        <v>169</v>
      </c>
      <c r="F44" s="15" t="s">
        <v>143</v>
      </c>
      <c r="G44" s="15" t="s">
        <v>175</v>
      </c>
      <c r="H44" s="65">
        <v>6</v>
      </c>
      <c r="I44" s="15" t="s">
        <v>508</v>
      </c>
      <c r="J44" s="34"/>
      <c r="K44" s="105">
        <v>2021</v>
      </c>
      <c r="L44" s="15" t="s">
        <v>649</v>
      </c>
      <c r="M44" s="135">
        <v>1</v>
      </c>
      <c r="N44" s="24">
        <v>90</v>
      </c>
      <c r="O44" s="123">
        <v>1</v>
      </c>
      <c r="P44" s="93">
        <v>1</v>
      </c>
      <c r="Q44" s="32">
        <v>90</v>
      </c>
      <c r="R44" s="15" t="s">
        <v>27</v>
      </c>
    </row>
    <row r="45" spans="1:21" s="6" customFormat="1" x14ac:dyDescent="0.35">
      <c r="A45" s="47"/>
      <c r="B45" s="15"/>
      <c r="C45" s="15" t="s">
        <v>31</v>
      </c>
      <c r="D45" s="15" t="s">
        <v>31</v>
      </c>
      <c r="E45" s="36" t="s">
        <v>225</v>
      </c>
      <c r="F45" s="36"/>
      <c r="G45" s="36" t="s">
        <v>138</v>
      </c>
      <c r="H45" s="35">
        <v>6</v>
      </c>
      <c r="I45" s="15" t="s">
        <v>508</v>
      </c>
      <c r="J45" s="34"/>
      <c r="K45" s="34">
        <v>2017</v>
      </c>
      <c r="L45" s="15" t="s">
        <v>139</v>
      </c>
      <c r="M45" s="15">
        <v>1</v>
      </c>
      <c r="N45" s="24">
        <v>2000</v>
      </c>
      <c r="O45" s="123">
        <v>1</v>
      </c>
      <c r="P45" s="24">
        <v>1</v>
      </c>
      <c r="Q45" s="32">
        <v>2000</v>
      </c>
      <c r="R45" s="15" t="s">
        <v>11</v>
      </c>
    </row>
    <row r="46" spans="1:21" s="6" customFormat="1" x14ac:dyDescent="0.35">
      <c r="A46" s="47"/>
      <c r="H46" s="19"/>
      <c r="J46" s="74"/>
      <c r="K46" s="74"/>
      <c r="N46" s="75"/>
      <c r="O46" s="12"/>
      <c r="P46" s="75"/>
      <c r="Q46" s="76"/>
    </row>
    <row r="47" spans="1:21" s="6" customFormat="1" x14ac:dyDescent="0.35">
      <c r="A47" s="47"/>
      <c r="H47" s="19"/>
      <c r="J47" s="74"/>
      <c r="K47" s="74"/>
      <c r="N47" s="75"/>
      <c r="O47" s="12"/>
      <c r="P47" s="75"/>
      <c r="Q47" s="76"/>
    </row>
    <row r="48" spans="1:21" s="6" customFormat="1" x14ac:dyDescent="0.35">
      <c r="A48" s="47"/>
      <c r="H48" s="19"/>
      <c r="J48" s="52"/>
      <c r="K48" s="25"/>
      <c r="N48" s="14"/>
      <c r="O48" s="12"/>
      <c r="P48" s="14"/>
      <c r="Q48" s="8"/>
    </row>
    <row r="51" spans="1:20" ht="15.5" x14ac:dyDescent="0.35">
      <c r="B51" s="26" t="s">
        <v>595</v>
      </c>
    </row>
    <row r="52" spans="1:20" s="39" customFormat="1" ht="66" customHeight="1" x14ac:dyDescent="0.35">
      <c r="B52" s="39" t="s">
        <v>360</v>
      </c>
      <c r="C52" s="39" t="s">
        <v>156</v>
      </c>
      <c r="D52" s="28" t="s">
        <v>361</v>
      </c>
      <c r="E52" s="39" t="s">
        <v>155</v>
      </c>
      <c r="F52" s="39" t="s">
        <v>190</v>
      </c>
      <c r="G52" s="39" t="s">
        <v>154</v>
      </c>
      <c r="H52" s="40" t="s">
        <v>198</v>
      </c>
      <c r="I52" s="41" t="s">
        <v>194</v>
      </c>
      <c r="J52" s="42" t="s">
        <v>402</v>
      </c>
      <c r="K52" s="42" t="s">
        <v>150</v>
      </c>
      <c r="L52" s="43" t="s">
        <v>213</v>
      </c>
      <c r="M52" s="41" t="s">
        <v>207</v>
      </c>
      <c r="N52" s="43" t="s">
        <v>204</v>
      </c>
      <c r="O52" s="43" t="s">
        <v>206</v>
      </c>
      <c r="P52" s="57" t="s">
        <v>334</v>
      </c>
      <c r="Q52" s="46" t="s">
        <v>335</v>
      </c>
      <c r="R52" s="39" t="s">
        <v>153</v>
      </c>
    </row>
    <row r="53" spans="1:20" s="6" customFormat="1" x14ac:dyDescent="0.35">
      <c r="A53" s="47"/>
      <c r="C53" s="50" t="s">
        <v>9</v>
      </c>
      <c r="D53" s="50" t="s">
        <v>9</v>
      </c>
      <c r="E53" s="6" t="s">
        <v>179</v>
      </c>
      <c r="F53" s="6" t="s">
        <v>87</v>
      </c>
      <c r="G53" s="11" t="s">
        <v>86</v>
      </c>
      <c r="H53" s="19">
        <v>1</v>
      </c>
      <c r="I53" s="11" t="s">
        <v>65</v>
      </c>
      <c r="J53" s="25">
        <v>1993</v>
      </c>
      <c r="K53" s="25"/>
      <c r="L53" s="6" t="s">
        <v>177</v>
      </c>
      <c r="M53" s="64">
        <v>3</v>
      </c>
      <c r="N53" s="22">
        <v>675</v>
      </c>
      <c r="O53" s="10">
        <v>1</v>
      </c>
      <c r="P53" s="16">
        <v>3</v>
      </c>
      <c r="Q53" s="45">
        <v>675</v>
      </c>
      <c r="R53" s="11"/>
    </row>
    <row r="54" spans="1:20" s="6" customFormat="1" x14ac:dyDescent="0.35">
      <c r="C54" s="50" t="s">
        <v>9</v>
      </c>
      <c r="D54" s="6" t="s">
        <v>9</v>
      </c>
      <c r="E54" s="47" t="s">
        <v>337</v>
      </c>
      <c r="F54" s="47"/>
      <c r="G54" s="59" t="s">
        <v>126</v>
      </c>
      <c r="H54" s="19">
        <v>1</v>
      </c>
      <c r="I54" s="11" t="s">
        <v>65</v>
      </c>
      <c r="J54" s="25" t="s">
        <v>147</v>
      </c>
      <c r="K54" s="25"/>
      <c r="L54" s="6" t="s">
        <v>177</v>
      </c>
      <c r="M54" s="64">
        <f t="shared" ref="M54:M62" si="0">P54/O54</f>
        <v>0</v>
      </c>
      <c r="N54" s="22">
        <f t="shared" ref="N54:N62" si="1">Q54/O54</f>
        <v>0</v>
      </c>
      <c r="O54" s="10">
        <v>1</v>
      </c>
      <c r="P54" s="86"/>
      <c r="Q54" s="8"/>
    </row>
    <row r="55" spans="1:20" s="6" customFormat="1" x14ac:dyDescent="0.35">
      <c r="C55" s="50" t="s">
        <v>9</v>
      </c>
      <c r="D55" s="6" t="s">
        <v>9</v>
      </c>
      <c r="E55" s="6" t="s">
        <v>337</v>
      </c>
      <c r="G55" s="11" t="s">
        <v>123</v>
      </c>
      <c r="H55" s="19">
        <v>1</v>
      </c>
      <c r="I55" s="11" t="s">
        <v>65</v>
      </c>
      <c r="J55" s="25" t="s">
        <v>147</v>
      </c>
      <c r="K55" s="25"/>
      <c r="L55" s="6" t="s">
        <v>177</v>
      </c>
      <c r="M55" s="64">
        <f t="shared" si="0"/>
        <v>0</v>
      </c>
      <c r="N55" s="22">
        <f t="shared" si="1"/>
        <v>0</v>
      </c>
      <c r="O55" s="10">
        <v>1</v>
      </c>
      <c r="P55" s="16"/>
      <c r="Q55" s="45"/>
      <c r="R55" s="11"/>
    </row>
    <row r="56" spans="1:20" s="6" customFormat="1" x14ac:dyDescent="0.35">
      <c r="C56" s="50" t="s">
        <v>9</v>
      </c>
      <c r="D56" s="6" t="s">
        <v>9</v>
      </c>
      <c r="E56" s="47" t="s">
        <v>307</v>
      </c>
      <c r="F56" s="47"/>
      <c r="G56" s="47" t="s">
        <v>125</v>
      </c>
      <c r="H56" s="19">
        <v>1</v>
      </c>
      <c r="I56" s="11" t="s">
        <v>65</v>
      </c>
      <c r="J56" s="25" t="s">
        <v>147</v>
      </c>
      <c r="K56" s="25"/>
      <c r="L56" s="6" t="s">
        <v>177</v>
      </c>
      <c r="M56" s="64">
        <f t="shared" si="0"/>
        <v>0</v>
      </c>
      <c r="N56" s="22">
        <f t="shared" si="1"/>
        <v>0</v>
      </c>
      <c r="O56" s="10">
        <v>1</v>
      </c>
      <c r="P56" s="86"/>
      <c r="Q56" s="8"/>
      <c r="S56" s="15"/>
      <c r="T56" s="23"/>
    </row>
    <row r="57" spans="1:20" s="11" customFormat="1" x14ac:dyDescent="0.35">
      <c r="B57" s="6"/>
      <c r="C57" s="50" t="s">
        <v>9</v>
      </c>
      <c r="D57" s="6" t="s">
        <v>9</v>
      </c>
      <c r="E57" s="6" t="s">
        <v>337</v>
      </c>
      <c r="F57" s="6"/>
      <c r="G57" s="11" t="s">
        <v>124</v>
      </c>
      <c r="H57" s="19">
        <v>1</v>
      </c>
      <c r="I57" s="11" t="s">
        <v>65</v>
      </c>
      <c r="J57" s="25" t="s">
        <v>147</v>
      </c>
      <c r="K57" s="25"/>
      <c r="L57" s="6" t="s">
        <v>177</v>
      </c>
      <c r="M57" s="64">
        <f t="shared" si="0"/>
        <v>0</v>
      </c>
      <c r="N57" s="22">
        <f t="shared" si="1"/>
        <v>0</v>
      </c>
      <c r="O57" s="10">
        <v>1</v>
      </c>
      <c r="P57" s="86"/>
      <c r="Q57" s="8"/>
      <c r="R57" s="6"/>
      <c r="S57" s="15"/>
      <c r="T57" s="23"/>
    </row>
    <row r="58" spans="1:20" s="15" customFormat="1" x14ac:dyDescent="0.35">
      <c r="B58" s="6"/>
      <c r="C58" s="50" t="s">
        <v>9</v>
      </c>
      <c r="D58" s="6" t="s">
        <v>9</v>
      </c>
      <c r="E58" s="47" t="s">
        <v>188</v>
      </c>
      <c r="F58" s="47" t="s">
        <v>122</v>
      </c>
      <c r="G58" s="47" t="s">
        <v>427</v>
      </c>
      <c r="H58" s="19">
        <v>1</v>
      </c>
      <c r="I58" s="11" t="s">
        <v>65</v>
      </c>
      <c r="J58" s="25" t="s">
        <v>147</v>
      </c>
      <c r="K58" s="25"/>
      <c r="L58" s="6" t="s">
        <v>177</v>
      </c>
      <c r="M58" s="64">
        <f t="shared" si="0"/>
        <v>0</v>
      </c>
      <c r="N58" s="22">
        <f t="shared" si="1"/>
        <v>0</v>
      </c>
      <c r="O58" s="10">
        <v>1</v>
      </c>
      <c r="P58" s="14"/>
      <c r="Q58" s="8"/>
      <c r="R58" s="6"/>
      <c r="S58" s="6"/>
      <c r="T58" s="6"/>
    </row>
    <row r="59" spans="1:20" s="15" customFormat="1" x14ac:dyDescent="0.35">
      <c r="B59" s="6"/>
      <c r="C59" s="50" t="s">
        <v>9</v>
      </c>
      <c r="D59" s="6" t="s">
        <v>9</v>
      </c>
      <c r="E59" s="47" t="s">
        <v>188</v>
      </c>
      <c r="F59" s="47" t="s">
        <v>122</v>
      </c>
      <c r="G59" s="47" t="s">
        <v>615</v>
      </c>
      <c r="H59" s="19">
        <v>3</v>
      </c>
      <c r="I59" s="11" t="s">
        <v>616</v>
      </c>
      <c r="J59" s="25">
        <v>2022</v>
      </c>
      <c r="K59" s="25"/>
      <c r="L59" s="6" t="s">
        <v>177</v>
      </c>
      <c r="M59" s="64">
        <f t="shared" si="0"/>
        <v>0</v>
      </c>
      <c r="N59" s="22">
        <f t="shared" si="1"/>
        <v>0</v>
      </c>
      <c r="O59" s="10">
        <v>1</v>
      </c>
      <c r="P59" s="14"/>
      <c r="Q59" s="8"/>
      <c r="R59" s="6"/>
      <c r="S59" s="6"/>
      <c r="T59" s="6"/>
    </row>
    <row r="60" spans="1:20" s="11" customFormat="1" x14ac:dyDescent="0.35">
      <c r="B60" s="6"/>
      <c r="C60" s="50" t="s">
        <v>9</v>
      </c>
      <c r="D60" s="6" t="s">
        <v>9</v>
      </c>
      <c r="E60" s="47" t="s">
        <v>337</v>
      </c>
      <c r="F60" s="47" t="s">
        <v>116</v>
      </c>
      <c r="G60" s="47" t="s">
        <v>233</v>
      </c>
      <c r="H60" s="19">
        <v>1</v>
      </c>
      <c r="I60" s="11" t="s">
        <v>65</v>
      </c>
      <c r="J60" s="25" t="s">
        <v>147</v>
      </c>
      <c r="K60" s="25"/>
      <c r="L60" s="6" t="s">
        <v>177</v>
      </c>
      <c r="M60" s="64">
        <f t="shared" si="0"/>
        <v>0</v>
      </c>
      <c r="N60" s="22">
        <f t="shared" si="1"/>
        <v>0</v>
      </c>
      <c r="O60" s="10">
        <v>1</v>
      </c>
      <c r="P60" s="16"/>
      <c r="Q60" s="45"/>
      <c r="S60" s="6"/>
      <c r="T60" s="6"/>
    </row>
    <row r="61" spans="1:20" s="11" customFormat="1" x14ac:dyDescent="0.35">
      <c r="B61" s="6"/>
      <c r="C61" s="50" t="s">
        <v>9</v>
      </c>
      <c r="D61" s="6" t="s">
        <v>9</v>
      </c>
      <c r="E61" s="47" t="s">
        <v>134</v>
      </c>
      <c r="F61" s="47" t="s">
        <v>366</v>
      </c>
      <c r="G61" s="11" t="s">
        <v>118</v>
      </c>
      <c r="H61" s="19">
        <v>1</v>
      </c>
      <c r="I61" s="11" t="s">
        <v>65</v>
      </c>
      <c r="J61" s="25" t="s">
        <v>147</v>
      </c>
      <c r="K61" s="25"/>
      <c r="L61" s="6" t="s">
        <v>177</v>
      </c>
      <c r="M61" s="64">
        <f t="shared" si="0"/>
        <v>0</v>
      </c>
      <c r="N61" s="22">
        <f t="shared" si="1"/>
        <v>0</v>
      </c>
      <c r="O61" s="10">
        <v>1</v>
      </c>
      <c r="P61" s="16"/>
      <c r="Q61" s="45"/>
      <c r="S61" s="15"/>
      <c r="T61" s="23"/>
    </row>
    <row r="62" spans="1:20" s="6" customFormat="1" x14ac:dyDescent="0.35">
      <c r="C62" s="50" t="s">
        <v>9</v>
      </c>
      <c r="D62" s="6" t="s">
        <v>9</v>
      </c>
      <c r="E62" s="6" t="s">
        <v>358</v>
      </c>
      <c r="F62" s="6" t="s">
        <v>117</v>
      </c>
      <c r="G62" s="6" t="s">
        <v>244</v>
      </c>
      <c r="H62" s="19">
        <v>1</v>
      </c>
      <c r="I62" s="11" t="s">
        <v>65</v>
      </c>
      <c r="J62" s="25" t="s">
        <v>147</v>
      </c>
      <c r="K62" s="25"/>
      <c r="L62" s="6" t="s">
        <v>177</v>
      </c>
      <c r="M62" s="64">
        <f t="shared" si="0"/>
        <v>0</v>
      </c>
      <c r="N62" s="22">
        <f t="shared" si="1"/>
        <v>0</v>
      </c>
      <c r="O62" s="10">
        <v>1</v>
      </c>
      <c r="P62" s="16"/>
      <c r="Q62" s="45"/>
      <c r="R62" s="11"/>
    </row>
    <row r="63" spans="1:20" s="6" customFormat="1" x14ac:dyDescent="0.35">
      <c r="C63" s="50" t="s">
        <v>9</v>
      </c>
      <c r="D63" s="6" t="s">
        <v>9</v>
      </c>
      <c r="E63" s="6" t="s">
        <v>337</v>
      </c>
      <c r="F63" s="6" t="s">
        <v>120</v>
      </c>
      <c r="G63" s="6" t="s">
        <v>342</v>
      </c>
      <c r="H63" s="19">
        <v>1</v>
      </c>
      <c r="I63" s="11" t="s">
        <v>65</v>
      </c>
      <c r="J63" s="25" t="s">
        <v>147</v>
      </c>
      <c r="K63" s="25"/>
      <c r="L63" s="6" t="s">
        <v>177</v>
      </c>
      <c r="M63" s="64"/>
      <c r="N63" s="22"/>
      <c r="O63" s="10">
        <v>1</v>
      </c>
      <c r="P63" s="14"/>
      <c r="Q63" s="8"/>
    </row>
    <row r="64" spans="1:20" s="6" customFormat="1" x14ac:dyDescent="0.35">
      <c r="C64" s="50" t="s">
        <v>9</v>
      </c>
      <c r="D64" s="6" t="s">
        <v>9</v>
      </c>
      <c r="E64" s="6" t="s">
        <v>337</v>
      </c>
      <c r="G64" s="11" t="s">
        <v>119</v>
      </c>
      <c r="H64" s="19">
        <v>1</v>
      </c>
      <c r="I64" s="11" t="s">
        <v>65</v>
      </c>
      <c r="J64" s="25" t="s">
        <v>147</v>
      </c>
      <c r="K64" s="25"/>
      <c r="L64" s="6" t="s">
        <v>177</v>
      </c>
      <c r="M64" s="64">
        <f>P64/O64</f>
        <v>0</v>
      </c>
      <c r="N64" s="22">
        <f>Q64/O64</f>
        <v>0</v>
      </c>
      <c r="O64" s="10">
        <v>1</v>
      </c>
      <c r="P64" s="16"/>
      <c r="Q64" s="45"/>
      <c r="R64" s="11"/>
    </row>
    <row r="65" spans="1:18" s="6" customFormat="1" x14ac:dyDescent="0.35">
      <c r="C65" s="50"/>
      <c r="E65" s="47"/>
      <c r="F65" s="47"/>
      <c r="G65" s="47"/>
      <c r="H65" s="19"/>
      <c r="I65" s="15"/>
      <c r="J65" s="25"/>
      <c r="K65" s="25"/>
      <c r="M65" s="64"/>
      <c r="N65" s="22"/>
      <c r="O65" s="10"/>
      <c r="P65" s="14"/>
      <c r="Q65" s="8"/>
      <c r="R65" s="7"/>
    </row>
    <row r="66" spans="1:18" s="27" customFormat="1" x14ac:dyDescent="0.35">
      <c r="A66" s="47"/>
      <c r="B66" s="6"/>
      <c r="C66" s="50"/>
      <c r="D66" s="6"/>
      <c r="E66" s="47"/>
      <c r="F66" s="47"/>
      <c r="G66" s="47"/>
      <c r="H66" s="19"/>
      <c r="I66" s="11"/>
      <c r="J66" s="25"/>
      <c r="K66" s="25"/>
      <c r="L66" s="6"/>
      <c r="M66" s="64"/>
      <c r="N66" s="22"/>
      <c r="O66" s="10"/>
      <c r="P66" s="14"/>
      <c r="Q66" s="8"/>
      <c r="R66" s="6"/>
    </row>
  </sheetData>
  <phoneticPr fontId="18" type="noConversion"/>
  <printOptions gridLines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534F03F3659840BB184C2D5C65D870" ma:contentTypeVersion="14" ma:contentTypeDescription="Een nieuw document maken." ma:contentTypeScope="" ma:versionID="8f76cb9e7aaa8240ca040cb5bbe739ba">
  <xsd:schema xmlns:xsd="http://www.w3.org/2001/XMLSchema" xmlns:xs="http://www.w3.org/2001/XMLSchema" xmlns:p="http://schemas.microsoft.com/office/2006/metadata/properties" xmlns:ns2="5eed6f38-2d4d-42a2-953e-0d77298c8714" xmlns:ns3="4aaa7d0e-339c-4c8b-90b2-b6581f90dbe5" targetNamespace="http://schemas.microsoft.com/office/2006/metadata/properties" ma:root="true" ma:fieldsID="db8086dca2847c3dd3e20ba76cf38107" ns2:_="" ns3:_="">
    <xsd:import namespace="5eed6f38-2d4d-42a2-953e-0d77298c8714"/>
    <xsd:import namespace="4aaa7d0e-339c-4c8b-90b2-b6581f90db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d6f38-2d4d-42a2-953e-0d77298c87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a7d0e-339c-4c8b-90b2-b6581f90d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Afmeldingsstatus" ma:internalName="Afmeldings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aaa7d0e-339c-4c8b-90b2-b6581f90dbe5" xsi:nil="true"/>
  </documentManagement>
</p:properties>
</file>

<file path=customXml/itemProps1.xml><?xml version="1.0" encoding="utf-8"?>
<ds:datastoreItem xmlns:ds="http://schemas.openxmlformats.org/officeDocument/2006/customXml" ds:itemID="{44861DB2-77A2-49F5-93AD-747586F391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175D94-4FC9-4644-A9BF-30C79BE7D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ed6f38-2d4d-42a2-953e-0d77298c8714"/>
    <ds:schemaRef ds:uri="4aaa7d0e-339c-4c8b-90b2-b6581f90d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F7F8D7-D96D-405E-AFF5-AC8D758F76C5}">
  <ds:schemaRefs>
    <ds:schemaRef ds:uri="http://schemas.microsoft.com/office/2006/metadata/properties"/>
    <ds:schemaRef ds:uri="http://schemas.microsoft.com/office/infopath/2007/PartnerControls"/>
    <ds:schemaRef ds:uri="4aaa7d0e-339c-4c8b-90b2-b6581f90dbe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6</vt:i4>
      </vt:variant>
    </vt:vector>
  </HeadingPairs>
  <TitlesOfParts>
    <vt:vector size="10" baseType="lpstr">
      <vt:lpstr>WIND gerealiseerd en in aanbouw</vt:lpstr>
      <vt:lpstr>WIND - gepland, voorbereiding</vt:lpstr>
      <vt:lpstr>WIND - plannen stopgezet</vt:lpstr>
      <vt:lpstr>Dorps-EAZ molens projecten</vt:lpstr>
      <vt:lpstr>'Dorps-EAZ molens projecten'!Afdrukbereik</vt:lpstr>
      <vt:lpstr>'WIND - plannen stopgezet'!Afdrukbereik</vt:lpstr>
      <vt:lpstr>'Dorps-EAZ molens projecten'!Afdruktitels</vt:lpstr>
      <vt:lpstr>'WIND - gepland, voorbereiding'!Afdruktitels</vt:lpstr>
      <vt:lpstr>'WIND - plannen stopgezet'!Afdruktitels</vt:lpstr>
      <vt:lpstr>'WIND gerealiseerd en in aanbouw'!Afdruktitels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Anouk Overbeek | HIER</cp:lastModifiedBy>
  <cp:lastPrinted>2022-01-14T12:53:55Z</cp:lastPrinted>
  <dcterms:created xsi:type="dcterms:W3CDTF">2015-03-30T10:57:38Z</dcterms:created>
  <dcterms:modified xsi:type="dcterms:W3CDTF">2022-03-25T08:45:05Z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0x01010096534F03F3659840BB184C2D5C65D870</vt:lpwstr>
  </property>
</Properties>
</file>