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em\Dropbox\PROJECTEN ACTIEF\Project LOKALE ENERGIEMONITOR\20 RAPPORTAGE\2024\bijlagen\"/>
    </mc:Choice>
  </mc:AlternateContent>
  <xr:revisionPtr revIDLastSave="0" documentId="13_ncr:1_{9E48D81E-0441-457E-AC6D-EDD099E3E1BE}" xr6:coauthVersionLast="47" xr6:coauthVersionMax="47" xr10:uidLastSave="{00000000-0000-0000-0000-000000000000}"/>
  <bookViews>
    <workbookView xWindow="-120" yWindow="-120" windowWidth="29040" windowHeight="15840" tabRatio="355" xr2:uid="{5A789ACC-62FD-4DAD-92C4-5643FD96C2A3}"/>
  </bookViews>
  <sheets>
    <sheet name="Steekproef geld van leden" sheetId="1" r:id="rId1"/>
    <sheet name="Steekproef omgevingsfondsen" sheetId="2" r:id="rId2"/>
  </sheets>
  <definedNames>
    <definedName name="_xlnm.Print_Area" localSheetId="0">'Steekproef geld van leden'!$B$9:$R$84</definedName>
    <definedName name="_xlnm.Print_Area" localSheetId="1">'Steekproef omgevingsfondsen'!$B$9:$K$75</definedName>
    <definedName name="_xlnm.Print_Titles" localSheetId="0">'Steekproef geld van leden'!$B:$B,'Steekproef geld van leden'!$14:$16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40" i="1" l="1"/>
  <c r="L32" i="1"/>
  <c r="F43" i="2" l="1"/>
  <c r="F44" i="2"/>
  <c r="F59" i="2" l="1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2" i="2"/>
  <c r="F38" i="2"/>
  <c r="F37" i="2"/>
  <c r="F36" i="2"/>
  <c r="F35" i="2"/>
  <c r="F33" i="2"/>
  <c r="F32" i="2"/>
  <c r="F31" i="2"/>
  <c r="F30" i="2"/>
  <c r="F29" i="2"/>
  <c r="F28" i="2"/>
  <c r="F27" i="2"/>
  <c r="F26" i="2"/>
  <c r="F25" i="2"/>
  <c r="F24" i="2"/>
  <c r="F23" i="2"/>
  <c r="F21" i="2"/>
  <c r="F20" i="2"/>
  <c r="F19" i="2"/>
  <c r="F18" i="2"/>
  <c r="F17" i="2"/>
  <c r="I74" i="1"/>
  <c r="J43" i="1"/>
  <c r="K43" i="1" s="1"/>
  <c r="K37" i="1"/>
  <c r="J37" i="1"/>
  <c r="L76" i="1"/>
  <c r="K76" i="1"/>
  <c r="J76" i="1"/>
  <c r="I76" i="1"/>
  <c r="L69" i="1"/>
  <c r="K69" i="1"/>
  <c r="I69" i="1"/>
  <c r="I63" i="1" l="1"/>
  <c r="L72" i="1"/>
  <c r="K72" i="1"/>
  <c r="J72" i="1"/>
  <c r="I72" i="1"/>
  <c r="L64" i="1"/>
  <c r="K64" i="1"/>
  <c r="J64" i="1"/>
  <c r="I64" i="1"/>
  <c r="L71" i="1"/>
  <c r="K71" i="1"/>
  <c r="J71" i="1"/>
  <c r="I71" i="1"/>
  <c r="L67" i="1"/>
  <c r="K67" i="1"/>
  <c r="J67" i="1"/>
  <c r="I67" i="1"/>
  <c r="I70" i="1"/>
  <c r="K32" i="1"/>
  <c r="I52" i="1"/>
  <c r="H52" i="1" l="1"/>
  <c r="L54" i="1" l="1"/>
  <c r="K54" i="1"/>
  <c r="I54" i="1"/>
  <c r="L53" i="1"/>
  <c r="I57" i="1"/>
  <c r="I56" i="1"/>
  <c r="G56" i="1"/>
  <c r="E56" i="1"/>
  <c r="I58" i="1"/>
  <c r="L63" i="1"/>
  <c r="K63" i="1"/>
  <c r="J63" i="1"/>
  <c r="L62" i="1"/>
  <c r="K62" i="1"/>
  <c r="J62" i="1"/>
  <c r="K53" i="1"/>
  <c r="J53" i="1"/>
  <c r="I53" i="1"/>
  <c r="I62" i="1"/>
  <c r="D34" i="2" l="1"/>
  <c r="F34" i="2" s="1"/>
  <c r="D22" i="2"/>
  <c r="F22" i="2" s="1"/>
</calcChain>
</file>

<file path=xl/sharedStrings.xml><?xml version="1.0" encoding="utf-8"?>
<sst xmlns="http://schemas.openxmlformats.org/spreadsheetml/2006/main" count="612" uniqueCount="370">
  <si>
    <t>Coöperatie</t>
  </si>
  <si>
    <t>Uitgevende instelling</t>
  </si>
  <si>
    <t>Euro per stuk</t>
  </si>
  <si>
    <t>Maximum per deelnemer</t>
  </si>
  <si>
    <t>Verwacht rendement</t>
  </si>
  <si>
    <t>Looptijd</t>
  </si>
  <si>
    <t>Voorwaarden deelname</t>
  </si>
  <si>
    <t>Windpark Krammer</t>
  </si>
  <si>
    <t>Zeeuwind, Deltawind</t>
  </si>
  <si>
    <t xml:space="preserve">obligaties </t>
  </si>
  <si>
    <t>8 jaar, 3 maanden</t>
  </si>
  <si>
    <t>Windpark Koningspleij</t>
  </si>
  <si>
    <t>Rijn en IJssel Energiecoöperatie (RIJE)</t>
  </si>
  <si>
    <t>coöperatie</t>
  </si>
  <si>
    <t xml:space="preserve">kapitaalinleg via participaties </t>
  </si>
  <si>
    <t>geen</t>
  </si>
  <si>
    <t>8% rendement over looptijd</t>
  </si>
  <si>
    <t>leden van coöperatie</t>
  </si>
  <si>
    <t>Bossche Windmolen West</t>
  </si>
  <si>
    <t>Coöperatie BWW (Bossche windmolen west)</t>
  </si>
  <si>
    <t>nb</t>
  </si>
  <si>
    <t>15 jaar</t>
  </si>
  <si>
    <t>lid coöperatie</t>
  </si>
  <si>
    <t>Windpark Kookepan</t>
  </si>
  <si>
    <t>Leudal Energie</t>
  </si>
  <si>
    <t>obligaties</t>
  </si>
  <si>
    <t>5-10 jaar</t>
  </si>
  <si>
    <t>leden coöperatie</t>
  </si>
  <si>
    <t>Windpark Egchelse Heide</t>
  </si>
  <si>
    <t>Peel Energie</t>
  </si>
  <si>
    <t>10 jaar</t>
  </si>
  <si>
    <t>Windpark Veur de Wind</t>
  </si>
  <si>
    <t>Nieuwleusen Synergie</t>
  </si>
  <si>
    <t>inwoners Nieuwleusen (Dalfsen)</t>
  </si>
  <si>
    <t>Windpark Papemeer</t>
  </si>
  <si>
    <t>Rijnland Energie Coöperatie</t>
  </si>
  <si>
    <t>bewoners regio, leden van lokale coöperaties</t>
  </si>
  <si>
    <t>Zonnepark Klarenbeek</t>
  </si>
  <si>
    <t>exploitatie-BV</t>
  </si>
  <si>
    <t xml:space="preserve">geen </t>
  </si>
  <si>
    <t>15 jaar, 4 maanden</t>
  </si>
  <si>
    <t>Zonnepark Brinkenweg</t>
  </si>
  <si>
    <t>deA Apeldoorn</t>
  </si>
  <si>
    <t>exploitatie- BV</t>
  </si>
  <si>
    <t xml:space="preserve">Zonnepark de Grift </t>
  </si>
  <si>
    <t>WPN Nijmegen</t>
  </si>
  <si>
    <t xml:space="preserve">tot 85 euro totaal per participatie </t>
  </si>
  <si>
    <t>looptijd</t>
  </si>
  <si>
    <t>Zonnepark Meerdorpen</t>
  </si>
  <si>
    <t>Grunneger Power</t>
  </si>
  <si>
    <t>15 jaar, 10 maanden</t>
  </si>
  <si>
    <t>bewoners gemeente Groningen voorrang</t>
  </si>
  <si>
    <t>Zonnepark Glimmen</t>
  </si>
  <si>
    <t>Duurzaam Glimmen</t>
  </si>
  <si>
    <t>korting energie-belasting PCR/ SCE regeling en opbrengstdeling</t>
  </si>
  <si>
    <t>Zonnepark Elzenbos</t>
  </si>
  <si>
    <t xml:space="preserve">Brummen Energie </t>
  </si>
  <si>
    <t>minimaal 5 jaar</t>
  </si>
  <si>
    <t>Zonnepark Eerbeek</t>
  </si>
  <si>
    <t>Brummen Energie</t>
  </si>
  <si>
    <t>Zonnepark Harderwijk</t>
  </si>
  <si>
    <t>Endura Harderwijk</t>
  </si>
  <si>
    <t>inwoners, ondernemers Harderwijk</t>
  </si>
  <si>
    <t>Zonnepark ‘t Rikkerink</t>
  </si>
  <si>
    <t>Energie Collectief Midden-Twente</t>
  </si>
  <si>
    <t>niet bekend</t>
  </si>
  <si>
    <t>postcoderoosgebied (SCE-regeling)</t>
  </si>
  <si>
    <t>Zonnepark Cothen</t>
  </si>
  <si>
    <t>Eigenwijkse Energie Coöperatie (EWEC)</t>
  </si>
  <si>
    <t>16 jaar, 3 maanden</t>
  </si>
  <si>
    <t xml:space="preserve">inwoners Cothen (primair), inwoners gemeente </t>
  </si>
  <si>
    <t>Zonnepark Langstraat Zon</t>
  </si>
  <si>
    <t>productie-coöperatie</t>
  </si>
  <si>
    <t>uitkering ca 13 euro per participatie per jaar</t>
  </si>
  <si>
    <t>15 jaar (tot 25 jaar)</t>
  </si>
  <si>
    <t>inwoners, ondernemers Waalwijk</t>
  </si>
  <si>
    <t xml:space="preserve">ValleiEnergie  </t>
  </si>
  <si>
    <t>uitkering ca 10 euro per participatie per jaar</t>
  </si>
  <si>
    <t>inwoners, ondernemers Ede en regio</t>
  </si>
  <si>
    <t>exploitatie- B.V. (via Duurzaam Investeren)</t>
  </si>
  <si>
    <t>4,5% rente per jaar + aflossing</t>
  </si>
  <si>
    <t>lid coöperatie - klant Pure Energie</t>
  </si>
  <si>
    <t>11% rendement over looptijd - via energy credit, korting op energierekening</t>
  </si>
  <si>
    <t>levensduur turbines, ca 20 jaar</t>
  </si>
  <si>
    <t>kapitaalinleg via participaties - plus eenmalig: 100 euro</t>
  </si>
  <si>
    <t>Langstraat Energie</t>
  </si>
  <si>
    <t>deA Apeldoorn / Energierijk Voorst</t>
  </si>
  <si>
    <t>coöperatie (via One Planet Crowd)</t>
  </si>
  <si>
    <t>5% rente + aflossing</t>
  </si>
  <si>
    <t>2,5% rente  per jaar + aflossing</t>
  </si>
  <si>
    <t>3,5% + aflossing</t>
  </si>
  <si>
    <t>3,5% rente per jaar + aflosing</t>
  </si>
  <si>
    <t>3% rente + aflossing</t>
  </si>
  <si>
    <t>4,5% rente + aflossing</t>
  </si>
  <si>
    <t>5% rente (vast) + aflossing</t>
  </si>
  <si>
    <t>4-6% rente (afh. Van looptijd) + aflossing</t>
  </si>
  <si>
    <t>€ 20.000 per ronde</t>
  </si>
  <si>
    <t>€ 10.000 max eigen verbruik (PCR)</t>
  </si>
  <si>
    <t>onbeperkt (toewijzing)</t>
  </si>
  <si>
    <t>leden coöperatie, inwoners Haren, Glimmen, Groningen - Postcoderoos gebieden</t>
  </si>
  <si>
    <t>lid coöperatie (Nijmegen en omgeving)</t>
  </si>
  <si>
    <t>leden coöperatie gemeente</t>
  </si>
  <si>
    <t>obligaties (€ 10.000.000 (2020) € 11.850.000 (in 2021)</t>
  </si>
  <si>
    <t>%- eigendom</t>
  </si>
  <si>
    <t>Vermogen totaal (MW)</t>
  </si>
  <si>
    <t>Doelbedrag/ investering -%</t>
  </si>
  <si>
    <t>Windpark Nijmegen-Betuwe</t>
  </si>
  <si>
    <t>Weert Energie</t>
  </si>
  <si>
    <t>Windpark Weert</t>
  </si>
  <si>
    <t>Windpark De Spinder</t>
  </si>
  <si>
    <t>burgerwindpark De Spinder U.A (11 coöperaties)</t>
  </si>
  <si>
    <t>Windpark Pampus Wind</t>
  </si>
  <si>
    <t>Almeerse Wind</t>
  </si>
  <si>
    <t>tenminste 4%</t>
  </si>
  <si>
    <t>leden, bewoners gemeente, overig Nederland</t>
  </si>
  <si>
    <t>Zonnepark Noordmanshoek</t>
  </si>
  <si>
    <t>GoedVeurMekare</t>
  </si>
  <si>
    <t>Windpark Heibloem</t>
  </si>
  <si>
    <t>Zuidenwind</t>
  </si>
  <si>
    <t>Zonnepark Groene Weuste - uitbreiding 2021</t>
  </si>
  <si>
    <t>Stichting Duurzame Energie Wierden-Enter</t>
  </si>
  <si>
    <t>3% rente looptijd 5 jaar, 3,5% looptijd 10 jaar</t>
  </si>
  <si>
    <t>5 en 10 jaar</t>
  </si>
  <si>
    <t>inwoners gemeene Wierden</t>
  </si>
  <si>
    <t>onbekend</t>
  </si>
  <si>
    <t>Doelbedrag per MW</t>
  </si>
  <si>
    <t>Investering per MW (miljoen euro)</t>
  </si>
  <si>
    <t>Zonnepark Lutten Levert</t>
  </si>
  <si>
    <t>25 euro per certificaat per jaar (rente + aflossing annuïteiten)</t>
  </si>
  <si>
    <t xml:space="preserve">postcoderoosgebied (oude regeling RVT) </t>
  </si>
  <si>
    <t>Lutten Levert</t>
  </si>
  <si>
    <t>crowdfundingplatform</t>
  </si>
  <si>
    <t>Windpark Ospeldijk</t>
  </si>
  <si>
    <t>Zuidenwind/ Newecoop</t>
  </si>
  <si>
    <t>Zonnepark Kouderke</t>
  </si>
  <si>
    <t>Zeeuwind/ EnergieNeutraal Koudekerke/ Dishoek</t>
  </si>
  <si>
    <t>geen maximum</t>
  </si>
  <si>
    <t>Wndpark Cluster BV (Windpark Binnenhaven)</t>
  </si>
  <si>
    <t>Zeeuwind</t>
  </si>
  <si>
    <t>Windpark</t>
  </si>
  <si>
    <t>Bestemming gelden</t>
  </si>
  <si>
    <t xml:space="preserve">Windmolens </t>
  </si>
  <si>
    <t>Westfriese Windmolen Coöperatie</t>
  </si>
  <si>
    <t>30.000 (tussen 2008-2014), 2014: 10.000 euro subsidie voor zoncoöperatie</t>
  </si>
  <si>
    <t>-</t>
  </si>
  <si>
    <t>(sociale) duurzaamheid</t>
  </si>
  <si>
    <t>2008 tot 2014</t>
  </si>
  <si>
    <t>Coöperatie Windenergie Waterland</t>
  </si>
  <si>
    <t>50.000-75.000</t>
  </si>
  <si>
    <t>Stichting Duurzaam Waterland</t>
  </si>
  <si>
    <t>Stichting MAST</t>
  </si>
  <si>
    <t>278.000 tussen 1994 en 2021</t>
  </si>
  <si>
    <t>1994 tot 2021</t>
  </si>
  <si>
    <t>Deltawind, Zeeuwind</t>
  </si>
  <si>
    <t>Stichting Windfonds Krammer</t>
  </si>
  <si>
    <t>welzijn, cultuur, beschermen natuur en milieu</t>
  </si>
  <si>
    <t>Windpark Battenoert</t>
  </si>
  <si>
    <t>Deltawind</t>
  </si>
  <si>
    <t>Windfonds Battenoert met omwonenden en dorpsraden</t>
  </si>
  <si>
    <t>(sociale)duurzaamheid, verdeelsleutel omwonenden, dorpsraden</t>
  </si>
  <si>
    <t>Windpark Piet de Wit II, Goeree-Overflakkee</t>
  </si>
  <si>
    <t>Stichting Windfonds Goeree-Overflakkee (voor alle windparken na 2016 )</t>
  </si>
  <si>
    <t>sociale, maatschappelijke initiatieven, inwoners, verenigingen, e.d. binnen straal 3,5 km rond windpark</t>
  </si>
  <si>
    <t>Windpark Nijmegen</t>
  </si>
  <si>
    <t>22000 waarvan 5.000 naar inwoners buurtschap Reeth</t>
  </si>
  <si>
    <t>Stichting Omgevingsfonds Windpark Nijmegen-Betuwe</t>
  </si>
  <si>
    <t>duurzaamheid in brede zin (energiebesparing, opwekking, leefbaarheid en sociale samenhang.</t>
  </si>
  <si>
    <t>Burgerwindpark De Spinder</t>
  </si>
  <si>
    <t>Coöperatie Burgerwindpark De Spinder (11 coöperaties)</t>
  </si>
  <si>
    <t>Uitkering dividend ca 77.000, 7.000 per coöperatie</t>
  </si>
  <si>
    <t>11 coöperaties</t>
  </si>
  <si>
    <t>Begin 2020</t>
  </si>
  <si>
    <t>Betuwewind</t>
  </si>
  <si>
    <t>100000 - (in 2021: 245.000)</t>
  </si>
  <si>
    <t>Duurzaamheidsfonds Betuwewind - (coöperatie)</t>
  </si>
  <si>
    <t>leefbaarheid, natuur, biodiversiteit, energietransitie en energiearmoede</t>
  </si>
  <si>
    <t>Windpark De Rietvelden - Bossche Windmolen West</t>
  </si>
  <si>
    <t>19000 (hele windpark)</t>
  </si>
  <si>
    <t>werkgroep (stichting in oprichting) onafhankelijke vertegenwoordiger</t>
  </si>
  <si>
    <t>duurzame projecten. gebied binnen straal 1,8 kilometer</t>
  </si>
  <si>
    <t>20000 (+ extra reserves naar duurzaamheidsfonds)</t>
  </si>
  <si>
    <t>adviescommissie omgeving</t>
  </si>
  <si>
    <t>gemeenschappelijke duurzame projecten</t>
  </si>
  <si>
    <t>Newecoop/ Zuidenwind</t>
  </si>
  <si>
    <t>30000 - (eerste uitkering 2021 gefinancierd uit bouwkosten)</t>
  </si>
  <si>
    <t>Stichting Omgevingsfonds Burgerwindpark De Kookepan. Bestuur en Raad van omwonenden.</t>
  </si>
  <si>
    <t>algemeen maatschappelijk nut, duurzaamheid. Bewoners en maatschappelijke instellingen binnen een straal van 2 km</t>
  </si>
  <si>
    <t xml:space="preserve">Peel Energie </t>
  </si>
  <si>
    <t>Commissie Windparkfonds Egchelse Heide - (coöperaties, lokale vertegenwoordigers)</t>
  </si>
  <si>
    <t>duurzaamheid, sociale cohesie, landschappelijke waarde, ecologische projecten.</t>
  </si>
  <si>
    <t>Nieuw Leusensynergie</t>
  </si>
  <si>
    <t>direct omwonenden</t>
  </si>
  <si>
    <t>Zonnepark Garyp</t>
  </si>
  <si>
    <t>Enerzjy Koöperaasje Garyp EKG)/Stichting de “Griene Greide” (SGG)</t>
  </si>
  <si>
    <t>variabel: 2.000-6.000 In 2020: eenmalig ca 30.000 (ivm corona)</t>
  </si>
  <si>
    <t xml:space="preserve">Mienskipsfûns Garyp (commissie met vertegenwoordigers uit coöperatie, dorpsbelangen e.a. groeperingen Garyp) </t>
  </si>
  <si>
    <t xml:space="preserve">alle projecten sociale duurzaamheid. </t>
  </si>
  <si>
    <t>duurzame, sociale projecten dorp en omgeving.</t>
  </si>
  <si>
    <t>deA Apeldoorn / gemeente</t>
  </si>
  <si>
    <t>geen omgevingsfonds</t>
  </si>
  <si>
    <t>Zonnecentrale Meikade</t>
  </si>
  <si>
    <t>Vallei Energie</t>
  </si>
  <si>
    <t>Kenhem Communities (wijk Kernhem)</t>
  </si>
  <si>
    <t>duurzaamheid, leefbaarheid</t>
  </si>
  <si>
    <t>Zonnepark LangstraatZon</t>
  </si>
  <si>
    <t>8.000 (minimaal)</t>
  </si>
  <si>
    <t>Stichting, bestuursleden  coöperatie, gemeente, Rabobank, onafhankelijke partij</t>
  </si>
  <si>
    <t>nieuwe projecten energieopwekking, educatie</t>
  </si>
  <si>
    <t xml:space="preserve">Vermogen (MW) - totaal </t>
  </si>
  <si>
    <t>inwoners nederland, voorrang inwoners Goeree-Overflakkee, Schouwen-Duiveland en Tholen, leden van Zeeuwind en Deltawind</t>
  </si>
  <si>
    <t>Jaar eerste bijdrage</t>
  </si>
  <si>
    <t>Vermogen (MW) toegerekend aan coöperatie</t>
  </si>
  <si>
    <t>Wind-/zonnepark</t>
  </si>
  <si>
    <t xml:space="preserve">TIP: Je kunt sorteren door op het pijltje boven de kolom te klikken.  </t>
  </si>
  <si>
    <t>Windpark Bovenwind</t>
  </si>
  <si>
    <t>Wij Duurzaam Staphorst</t>
  </si>
  <si>
    <t>BurgerZonnepark Vloeivelden</t>
  </si>
  <si>
    <t>ECLoZ</t>
  </si>
  <si>
    <t>Zonnepark De Bocht</t>
  </si>
  <si>
    <t>Zonnepark Valgenweg</t>
  </si>
  <si>
    <t>Zonnepark Kromhofsweg</t>
  </si>
  <si>
    <t>Enschede Energie</t>
  </si>
  <si>
    <t>Zonnepark Tinte</t>
  </si>
  <si>
    <t>Voorne Putten Energie (VPE)</t>
  </si>
  <si>
    <t>5% (+ bonusrente)</t>
  </si>
  <si>
    <t>20 jaar</t>
  </si>
  <si>
    <t>Zonneweide De Blauwe Poort (overname 1-1-2024)</t>
  </si>
  <si>
    <t>Laarbeek Energie</t>
  </si>
  <si>
    <t>leden coöperatie, inwoners, ondernemers, verenigingen en stichtingen Loon op Zand en regio Hart van Brabant</t>
  </si>
  <si>
    <t>kapitaalinleg via participaties</t>
  </si>
  <si>
    <t>EWEC (Eigenwijkse Energie CoÖperatie)</t>
  </si>
  <si>
    <t>leden coöperatie, inwoners regio die lid worden</t>
  </si>
  <si>
    <t>Zeenergie</t>
  </si>
  <si>
    <t xml:space="preserve">kapitaalinleg via participaties &amp; obligaties </t>
  </si>
  <si>
    <t>7% rente (obligaties), 6% dividend (kapitaalinleg)</t>
  </si>
  <si>
    <t>7 jaar (obligaties)</t>
  </si>
  <si>
    <t>leden coöperatie of collega-coöperatie regionale samenwerking ECCR</t>
  </si>
  <si>
    <t>Zonneparken De Roodmolen en De Elsmoat</t>
  </si>
  <si>
    <t>4% rente</t>
  </si>
  <si>
    <t>uitkering (dividend)</t>
  </si>
  <si>
    <t>25 jaar</t>
  </si>
  <si>
    <t>Windpark Oeverwind</t>
  </si>
  <si>
    <t>VEC Vlaardingen/ De Windvogel</t>
  </si>
  <si>
    <t>Zonnepark Schoorlemmer Pekela Duurzaam</t>
  </si>
  <si>
    <t>Blauwvinger Energie</t>
  </si>
  <si>
    <t>kapitaalinleg via participaties (ledencertificaten via een STAK)</t>
  </si>
  <si>
    <t>6,5% rendement</t>
  </si>
  <si>
    <t>22 jaar</t>
  </si>
  <si>
    <t>60% (juridisch)</t>
  </si>
  <si>
    <t>Ga voor meer info naar hier.nu/lokale-energie-monitor</t>
  </si>
  <si>
    <t>Lokale Energie Monitor 2024</t>
  </si>
  <si>
    <t>Steekproef geld ophalen bij leden (wervingscampagnes van coöperaties 2020-2024)</t>
  </si>
  <si>
    <t>Zonnepark Hooibroeken</t>
  </si>
  <si>
    <t>Zonnepark De Dolten/ Oudehaske II</t>
  </si>
  <si>
    <t>Zonnepark Assen-Zuid</t>
  </si>
  <si>
    <t>Zonnepark Groensebos</t>
  </si>
  <si>
    <t>Zonneweide Torenallee- uitbreiding</t>
  </si>
  <si>
    <t>Zonnepark Nieuwland (deel Hollandscheveld)</t>
  </si>
  <si>
    <t>Zonnepark RWZI Boxtel</t>
  </si>
  <si>
    <t>Zonnepark SDEI-13 Wezenland</t>
  </si>
  <si>
    <t>Deventer Energie</t>
  </si>
  <si>
    <t>Dommelstroom</t>
  </si>
  <si>
    <t>Groene Wieken</t>
  </si>
  <si>
    <t>Endona</t>
  </si>
  <si>
    <t>Oosterhout Nieuwe Energie</t>
  </si>
  <si>
    <t>Duurzaam Kootwijkerbroek</t>
  </si>
  <si>
    <t>Zonneweide Bergen</t>
  </si>
  <si>
    <t>Zonnepark Hazenwinkel</t>
  </si>
  <si>
    <t>Zonneweide Overkamp</t>
  </si>
  <si>
    <t>Goed Veur Mekare</t>
  </si>
  <si>
    <t>Bergen Energie</t>
  </si>
  <si>
    <t>Energie Coöperatie Romrijten</t>
  </si>
  <si>
    <t>Energiecoöperatie Echt-Susteren</t>
  </si>
  <si>
    <t>Asser Energie</t>
  </si>
  <si>
    <t>Samenwerkende Heerenveense Energie CoÖperatie (SHEC)</t>
  </si>
  <si>
    <t>Energiek Heusden</t>
  </si>
  <si>
    <t xml:space="preserve">Zonnepark Zonnewoud </t>
  </si>
  <si>
    <t>toegevoegd 2024</t>
  </si>
  <si>
    <t>Windpark Oostzeedijk</t>
  </si>
  <si>
    <t>4% rente, plus 4% bonus afh. van winst</t>
  </si>
  <si>
    <t>leden</t>
  </si>
  <si>
    <t>coöperatie (VEC&amp;Windvogel)</t>
  </si>
  <si>
    <t>ledenlening (variabel, 5 jaar vast)</t>
  </si>
  <si>
    <t>variabel of 5 jaar vast</t>
  </si>
  <si>
    <t>leden (ook buiten de regio)</t>
  </si>
  <si>
    <t>3,5-4% rente (+aflossing)</t>
  </si>
  <si>
    <t>eigen vermogen via ledenleningen aan coöperatie, niet projectgebonden</t>
  </si>
  <si>
    <t>5% rente (+aflossing)</t>
  </si>
  <si>
    <t>minimaal 50% aan leden</t>
  </si>
  <si>
    <t>looptijd project</t>
  </si>
  <si>
    <t>Morgen Groene Energie Gulbergen</t>
  </si>
  <si>
    <t>Eemsdelta Energiek/ Windvogel</t>
  </si>
  <si>
    <t>Zonnepark Wijkerbroek</t>
  </si>
  <si>
    <t>Investering wind- zonnepark door coöperatie (totaal, % aandelenverhouding)</t>
  </si>
  <si>
    <t>inwoners Zeewolde (voorrang), Flevoland</t>
  </si>
  <si>
    <t>€ 50.000 (obligaties), €25.000 (aandelen)</t>
  </si>
  <si>
    <t>€ 250 (obligaties), €50 (aandeel)</t>
  </si>
  <si>
    <t>6,5%, met bonusuitkering 8,5%</t>
  </si>
  <si>
    <t>nvt</t>
  </si>
  <si>
    <t>€ 400 (SCE), € 250 (SDE)</t>
  </si>
  <si>
    <t>€ 4.000 (SCE), € 10.000 (SDE)</t>
  </si>
  <si>
    <t>kapitaalinleg via participaties (SCE-deel) &amp; obligaties (SDE-deel)</t>
  </si>
  <si>
    <t>Zonnepark Nunhem (SCE &amp; SDE kavel)</t>
  </si>
  <si>
    <t>6% (SCE, jaarlijkse uitkering), 4-5% rente + mogelijk 2% bonusrente (SDE obligaties)</t>
  </si>
  <si>
    <t>15 jaar (SCE), 5 of 10 jaar (SDE)</t>
  </si>
  <si>
    <t>nog niet bekend</t>
  </si>
  <si>
    <t>geen uitgifte, eigen vermogeninbreng via omgevingsbijdrage via SCE</t>
  </si>
  <si>
    <t xml:space="preserve">geen uitgifte,  eigen vermogeninbreng door Energiefonds Drenthe </t>
  </si>
  <si>
    <t xml:space="preserve">geen uitgifte, eigen vermogeninbreng door coöperatie uit inkomsten ander zonnepark en FSFE (Fûns Skjinne Fryske Enerzjy) </t>
  </si>
  <si>
    <t>geen uitgifte,eigen vermogeninbreng via fonds</t>
  </si>
  <si>
    <t>Zonnepark Cothen (geen eigendom)</t>
  </si>
  <si>
    <t>Pekela Duurzaam</t>
  </si>
  <si>
    <t>Zonnepark Meikade veld</t>
  </si>
  <si>
    <t>Zonnepark De Raak (SCE kavel)</t>
  </si>
  <si>
    <t>productiecoöperatie</t>
  </si>
  <si>
    <t>Doelbedrag (of opgehaald bedrag) uitgifte</t>
  </si>
  <si>
    <t>Zonnepark Dorst (Zonnige Dorst) (SCE kavel)</t>
  </si>
  <si>
    <t>Zonnepark Branderwal (SCE kavel)</t>
  </si>
  <si>
    <t>%- cooperatief eigendom</t>
  </si>
  <si>
    <t>Vermogen (MW) coöperatief</t>
  </si>
  <si>
    <t>Windpark Deil</t>
  </si>
  <si>
    <t>Windpark Avri</t>
  </si>
  <si>
    <t>Omgevingsbijdrage Euro per jaar (gemiddeld)</t>
  </si>
  <si>
    <t>met Windpark Deil</t>
  </si>
  <si>
    <t>Zonnepark De Groene Weuste</t>
  </si>
  <si>
    <t xml:space="preserve"> bijdragen aan leefbaarheid en duurzaamheid,</t>
  </si>
  <si>
    <t>Naam fonds - beheer</t>
  </si>
  <si>
    <t>€ 0,50-1,00</t>
  </si>
  <si>
    <t xml:space="preserve">€ 0,30-1,0 </t>
  </si>
  <si>
    <t>4% rente + aflossing</t>
  </si>
  <si>
    <t xml:space="preserve">5% rente + aflossing </t>
  </si>
  <si>
    <t>3-9% rendement (uitkering)</t>
  </si>
  <si>
    <t>6% rendement (uitkering 30 euro per participatie</t>
  </si>
  <si>
    <t>6,5% rendement (uitkering)</t>
  </si>
  <si>
    <t>5% rente +aflossing</t>
  </si>
  <si>
    <t>8-10% rente +aflossing (uitkering €40 tot €50 over 15 jaar, aflossing € 500 jaar 15)</t>
  </si>
  <si>
    <t>Type obligatie/ kapitaalinleg</t>
  </si>
  <si>
    <t>€ 10.000 (Omgevingsfonds Oudheusden), rest (Duurzaanheidsfonds</t>
  </si>
  <si>
    <t>Omgevingsfonds Oudheusden, Duurzaamheidsfonds Heusden</t>
  </si>
  <si>
    <t>duurzaamheid</t>
  </si>
  <si>
    <t>Bijdrage aan Dorpsraad</t>
  </si>
  <si>
    <t>Zonnepark Fledderbosch</t>
  </si>
  <si>
    <t>€ 40.000 (eenmalig), € 100.000 per jaar (25 jaar)</t>
  </si>
  <si>
    <t>Zonnepark De Ronde Blesse (I&amp;II)</t>
  </si>
  <si>
    <t>Energie Coöperatie Ten Boer (ECTB)</t>
  </si>
  <si>
    <t>Duurzaam Willemsoord</t>
  </si>
  <si>
    <t>€ 400.000 (eenmalig)</t>
  </si>
  <si>
    <t>Stichting Sociaal Maatschappelijk Fonds Zonneweide Torenallee Raalte</t>
  </si>
  <si>
    <t>Stichting Wijks Omgevingsfonds</t>
  </si>
  <si>
    <t>coöperatie, Ver. Dorpsbelangen</t>
  </si>
  <si>
    <t>geen fonds</t>
  </si>
  <si>
    <t>gemeente</t>
  </si>
  <si>
    <t>SCE-constructie tbv sport</t>
  </si>
  <si>
    <t>Bijdrage aan sportinstellingen</t>
  </si>
  <si>
    <t>Richtbedrag Euro/ MWh (jaarlijks)</t>
  </si>
  <si>
    <t>€ 0,50 per MWh (25 jaar)</t>
  </si>
  <si>
    <t>via hele zonnepark</t>
  </si>
  <si>
    <t>Zonneweide Torenallee SCE uitbreiding)</t>
  </si>
  <si>
    <t xml:space="preserve">Zonneweide Torenallee </t>
  </si>
  <si>
    <t>Zonnepark Heeten</t>
  </si>
  <si>
    <t>Stichting Sociaal Maatschappelijk Fonds Zonneweide Heeten</t>
  </si>
  <si>
    <t>€ 10.000 (in 2023)</t>
  </si>
  <si>
    <t>€ 10.000 (in 2022, 2023)</t>
  </si>
  <si>
    <t>€ 7.000-9.000 (jaarlijks) (2023-2024)</t>
  </si>
  <si>
    <t>obligaties, achtergestelde lening aan BV</t>
  </si>
  <si>
    <t>Zonnepark Wijkerbroek Oost &amp; West (geen eigendom)</t>
  </si>
  <si>
    <t>Zonnepark Bomhofsplas (tweede ronde)</t>
  </si>
  <si>
    <t>toegevoegd 2024:</t>
  </si>
  <si>
    <t>BIJLAGE 6 - FINANCIEEL</t>
  </si>
  <si>
    <t>Steekproef omgevingsfondsen van coöperatieve wind-en zonneparken (tot en met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</si>
</sst>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8" formatCode="&quot;€&quot;\ #,##0.00;[Red]&quot;€&quot;\ \-#,##0.00"/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 [$€-413]\ * #,##0_ ;_ [$€-413]\ * \-#,##0_ ;_ [$€-413]\ * &quot;-&quot;??_ ;_ @_ "/>
    <numFmt numFmtId="165" formatCode="_([$€-2]\ * #,##0_);_([$€-2]\ * \(#,##0\);_([$€-2]\ * &quot;-&quot;??_);_(@_)"/>
    <numFmt numFmtId="166" formatCode="_ &quot;€&quot;\ * #,##0_ ;_ &quot;€&quot;\ * \-#,##0_ ;_ &quot;€&quot;\ * &quot;-&quot;??_ ;_ @_ "/>
    <numFmt numFmtId="167" formatCode="_ &quot;€&quot;\ * #,##0.0_ ;_ &quot;€&quot;\ * \-#,##0.0_ ;_ &quot;€&quot;\ * &quot;-&quot;??_ ;_ @_ "/>
    <numFmt numFmtId="168" formatCode="_ * #,##0.0_ ;_ * \-#,##0.0_ ;_ * &quot;-&quot;??_ ;_ @_ "/>
    <numFmt numFmtId="169" formatCode="0.0%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0"/>
      <name val="Calibri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i/>
      <sz val="11"/>
      <name val="Calibri"/>
      <family val="2"/>
      <scheme val="minor"/>
    </font>
    <font>
      <sz val="10"/>
      <color rgb="FF1D1F25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AFCB51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 style="thin">
        <color theme="9"/>
      </left>
      <right style="thin">
        <color theme="9"/>
      </right>
      <top/>
      <bottom style="thin">
        <color theme="9"/>
      </bottom>
      <diagonal/>
    </border>
  </borders>
  <cellStyleXfs count="5">
    <xf numFmtId="0" fontId="0" fillId="0" borderId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07">
    <xf numFmtId="0" fontId="0" fillId="0" borderId="0" xfId="0"/>
    <xf numFmtId="0" fontId="2" fillId="0" borderId="0" xfId="0" applyFont="1"/>
    <xf numFmtId="0" fontId="1" fillId="0" borderId="0" xfId="0" applyFont="1"/>
    <xf numFmtId="44" fontId="0" fillId="0" borderId="0" xfId="1" applyFont="1"/>
    <xf numFmtId="0" fontId="0" fillId="0" borderId="0" xfId="0" applyAlignment="1">
      <alignment vertical="top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166" fontId="5" fillId="0" borderId="0" xfId="0" applyNumberFormat="1" applyFont="1"/>
    <xf numFmtId="168" fontId="5" fillId="0" borderId="0" xfId="3" applyNumberFormat="1" applyFont="1" applyAlignment="1">
      <alignment horizontal="center"/>
    </xf>
    <xf numFmtId="0" fontId="6" fillId="0" borderId="0" xfId="0" applyFont="1"/>
    <xf numFmtId="0" fontId="11" fillId="2" borderId="5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 wrapText="1"/>
    </xf>
    <xf numFmtId="0" fontId="12" fillId="2" borderId="6" xfId="0" applyFont="1" applyFill="1" applyBorder="1" applyAlignment="1">
      <alignment horizontal="center" vertical="top" wrapText="1"/>
    </xf>
    <xf numFmtId="168" fontId="12" fillId="2" borderId="6" xfId="0" applyNumberFormat="1" applyFont="1" applyFill="1" applyBorder="1" applyAlignment="1">
      <alignment horizontal="center" vertical="top" wrapText="1"/>
    </xf>
    <xf numFmtId="0" fontId="12" fillId="2" borderId="6" xfId="0" applyFont="1" applyFill="1" applyBorder="1" applyAlignment="1">
      <alignment horizontal="left" vertical="top" wrapText="1"/>
    </xf>
    <xf numFmtId="0" fontId="11" fillId="2" borderId="4" xfId="0" applyFont="1" applyFill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7" xfId="0" applyBorder="1" applyAlignment="1">
      <alignment vertical="top"/>
    </xf>
    <xf numFmtId="0" fontId="0" fillId="0" borderId="1" xfId="0" applyBorder="1" applyAlignment="1">
      <alignment vertical="top"/>
    </xf>
    <xf numFmtId="168" fontId="5" fillId="0" borderId="1" xfId="3" applyNumberFormat="1" applyFont="1" applyBorder="1" applyAlignment="1">
      <alignment vertical="top"/>
    </xf>
    <xf numFmtId="9" fontId="5" fillId="0" borderId="1" xfId="0" applyNumberFormat="1" applyFont="1" applyBorder="1" applyAlignment="1">
      <alignment vertical="top"/>
    </xf>
    <xf numFmtId="168" fontId="5" fillId="0" borderId="1" xfId="3" applyNumberFormat="1" applyFont="1" applyFill="1" applyBorder="1" applyAlignment="1">
      <alignment vertical="top"/>
    </xf>
    <xf numFmtId="164" fontId="0" fillId="0" borderId="1" xfId="0" applyNumberFormat="1" applyBorder="1" applyAlignment="1">
      <alignment vertical="top"/>
    </xf>
    <xf numFmtId="166" fontId="5" fillId="0" borderId="1" xfId="1" applyNumberFormat="1" applyFont="1" applyFill="1" applyBorder="1" applyAlignment="1">
      <alignment vertical="top"/>
    </xf>
    <xf numFmtId="166" fontId="8" fillId="0" borderId="1" xfId="1" applyNumberFormat="1" applyFont="1" applyFill="1" applyBorder="1" applyAlignment="1">
      <alignment vertical="top"/>
    </xf>
    <xf numFmtId="167" fontId="8" fillId="0" borderId="1" xfId="1" applyNumberFormat="1" applyFont="1" applyFill="1" applyBorder="1" applyAlignment="1">
      <alignment vertical="top"/>
    </xf>
    <xf numFmtId="9" fontId="5" fillId="0" borderId="1" xfId="2" applyFont="1" applyFill="1" applyBorder="1" applyAlignment="1">
      <alignment vertical="top"/>
    </xf>
    <xf numFmtId="0" fontId="0" fillId="0" borderId="8" xfId="0" applyBorder="1" applyAlignment="1">
      <alignment vertical="top"/>
    </xf>
    <xf numFmtId="9" fontId="8" fillId="0" borderId="1" xfId="2" applyFont="1" applyFill="1" applyBorder="1" applyAlignment="1">
      <alignment vertical="top"/>
    </xf>
    <xf numFmtId="49" fontId="0" fillId="0" borderId="1" xfId="0" applyNumberFormat="1" applyBorder="1" applyAlignment="1">
      <alignment vertical="top"/>
    </xf>
    <xf numFmtId="165" fontId="0" fillId="0" borderId="1" xfId="0" applyNumberFormat="1" applyBorder="1" applyAlignment="1">
      <alignment vertical="top"/>
    </xf>
    <xf numFmtId="166" fontId="0" fillId="0" borderId="1" xfId="1" applyNumberFormat="1" applyFont="1" applyFill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9" xfId="0" applyBorder="1" applyAlignment="1">
      <alignment vertical="top"/>
    </xf>
    <xf numFmtId="168" fontId="5" fillId="0" borderId="9" xfId="3" applyNumberFormat="1" applyFont="1" applyBorder="1" applyAlignment="1">
      <alignment vertical="top"/>
    </xf>
    <xf numFmtId="9" fontId="5" fillId="0" borderId="9" xfId="0" applyNumberFormat="1" applyFont="1" applyBorder="1" applyAlignment="1">
      <alignment vertical="top"/>
    </xf>
    <xf numFmtId="168" fontId="5" fillId="0" borderId="9" xfId="3" applyNumberFormat="1" applyFont="1" applyFill="1" applyBorder="1" applyAlignment="1">
      <alignment vertical="top"/>
    </xf>
    <xf numFmtId="164" fontId="0" fillId="0" borderId="9" xfId="0" applyNumberFormat="1" applyBorder="1" applyAlignment="1">
      <alignment vertical="top"/>
    </xf>
    <xf numFmtId="166" fontId="5" fillId="0" borderId="9" xfId="1" applyNumberFormat="1" applyFont="1" applyFill="1" applyBorder="1" applyAlignment="1">
      <alignment vertical="top"/>
    </xf>
    <xf numFmtId="166" fontId="8" fillId="0" borderId="9" xfId="1" applyNumberFormat="1" applyFont="1" applyFill="1" applyBorder="1" applyAlignment="1">
      <alignment vertical="top"/>
    </xf>
    <xf numFmtId="167" fontId="8" fillId="0" borderId="9" xfId="1" applyNumberFormat="1" applyFont="1" applyFill="1" applyBorder="1" applyAlignment="1">
      <alignment vertical="top"/>
    </xf>
    <xf numFmtId="9" fontId="8" fillId="0" borderId="9" xfId="2" applyFont="1" applyFill="1" applyBorder="1" applyAlignment="1">
      <alignment vertical="top"/>
    </xf>
    <xf numFmtId="0" fontId="0" fillId="0" borderId="2" xfId="0" applyBorder="1" applyAlignment="1">
      <alignment vertical="top"/>
    </xf>
    <xf numFmtId="164" fontId="0" fillId="0" borderId="1" xfId="1" applyNumberFormat="1" applyFont="1" applyFill="1" applyBorder="1" applyAlignment="1">
      <alignment vertical="top"/>
    </xf>
    <xf numFmtId="9" fontId="5" fillId="0" borderId="9" xfId="2" applyFont="1" applyFill="1" applyBorder="1" applyAlignment="1">
      <alignment vertical="top"/>
    </xf>
    <xf numFmtId="166" fontId="13" fillId="0" borderId="1" xfId="1" applyNumberFormat="1" applyFont="1" applyFill="1" applyBorder="1" applyAlignment="1">
      <alignment vertical="top"/>
    </xf>
    <xf numFmtId="0" fontId="4" fillId="0" borderId="0" xfId="0" applyFont="1"/>
    <xf numFmtId="10" fontId="0" fillId="0" borderId="1" xfId="0" applyNumberFormat="1" applyBorder="1" applyAlignment="1">
      <alignment vertical="top"/>
    </xf>
    <xf numFmtId="9" fontId="0" fillId="0" borderId="1" xfId="0" applyNumberFormat="1" applyBorder="1" applyAlignment="1">
      <alignment vertical="top"/>
    </xf>
    <xf numFmtId="164" fontId="0" fillId="0" borderId="1" xfId="0" applyNumberFormat="1" applyBorder="1" applyAlignment="1">
      <alignment horizontal="center" vertical="top"/>
    </xf>
    <xf numFmtId="166" fontId="0" fillId="0" borderId="1" xfId="1" applyNumberFormat="1" applyFont="1" applyFill="1" applyBorder="1" applyAlignment="1">
      <alignment horizontal="left" vertical="top" indent="2"/>
    </xf>
    <xf numFmtId="49" fontId="0" fillId="0" borderId="0" xfId="0" applyNumberFormat="1" applyAlignment="1">
      <alignment horizontal="left"/>
    </xf>
    <xf numFmtId="0" fontId="0" fillId="0" borderId="1" xfId="0" quotePrefix="1" applyBorder="1" applyAlignment="1">
      <alignment vertical="top"/>
    </xf>
    <xf numFmtId="164" fontId="0" fillId="0" borderId="1" xfId="0" applyNumberFormat="1" applyBorder="1" applyAlignment="1">
      <alignment horizontal="left" vertical="top"/>
    </xf>
    <xf numFmtId="9" fontId="8" fillId="0" borderId="1" xfId="0" applyNumberFormat="1" applyFont="1" applyBorder="1" applyAlignment="1">
      <alignment vertical="top"/>
    </xf>
    <xf numFmtId="0" fontId="7" fillId="2" borderId="10" xfId="0" applyFont="1" applyFill="1" applyBorder="1" applyAlignment="1">
      <alignment vertical="top" wrapText="1"/>
    </xf>
    <xf numFmtId="0" fontId="7" fillId="2" borderId="10" xfId="0" applyFont="1" applyFill="1" applyBorder="1" applyAlignment="1">
      <alignment horizontal="center" vertical="top" wrapText="1"/>
    </xf>
    <xf numFmtId="44" fontId="7" fillId="2" borderId="10" xfId="1" applyFont="1" applyFill="1" applyBorder="1" applyAlignment="1">
      <alignment vertical="top" wrapText="1"/>
    </xf>
    <xf numFmtId="0" fontId="9" fillId="0" borderId="10" xfId="0" applyFont="1" applyBorder="1" applyAlignment="1">
      <alignment horizontal="left" vertical="center"/>
    </xf>
    <xf numFmtId="44" fontId="9" fillId="0" borderId="10" xfId="1" applyFont="1" applyBorder="1" applyAlignment="1">
      <alignment horizontal="left" vertical="center"/>
    </xf>
    <xf numFmtId="3" fontId="9" fillId="0" borderId="10" xfId="0" applyNumberFormat="1" applyFont="1" applyBorder="1" applyAlignment="1">
      <alignment horizontal="left" vertical="center"/>
    </xf>
    <xf numFmtId="168" fontId="7" fillId="2" borderId="10" xfId="3" applyNumberFormat="1" applyFont="1" applyFill="1" applyBorder="1" applyAlignment="1">
      <alignment horizontal="center" vertical="top" wrapText="1"/>
    </xf>
    <xf numFmtId="168" fontId="5" fillId="0" borderId="0" xfId="3" applyNumberFormat="1" applyFont="1" applyAlignment="1"/>
    <xf numFmtId="168" fontId="7" fillId="2" borderId="10" xfId="3" applyNumberFormat="1" applyFont="1" applyFill="1" applyBorder="1" applyAlignment="1">
      <alignment vertical="top" wrapText="1"/>
    </xf>
    <xf numFmtId="168" fontId="10" fillId="0" borderId="10" xfId="3" applyNumberFormat="1" applyFont="1" applyBorder="1" applyAlignment="1">
      <alignment vertical="center"/>
    </xf>
    <xf numFmtId="168" fontId="0" fillId="0" borderId="0" xfId="3" applyNumberFormat="1" applyFont="1" applyAlignment="1">
      <alignment horizontal="center"/>
    </xf>
    <xf numFmtId="168" fontId="9" fillId="0" borderId="10" xfId="3" applyNumberFormat="1" applyFont="1" applyBorder="1" applyAlignment="1">
      <alignment horizontal="center" vertical="center"/>
    </xf>
    <xf numFmtId="9" fontId="5" fillId="0" borderId="0" xfId="2" applyFont="1" applyAlignment="1">
      <alignment horizontal="right"/>
    </xf>
    <xf numFmtId="9" fontId="7" fillId="2" borderId="10" xfId="2" applyFont="1" applyFill="1" applyBorder="1" applyAlignment="1">
      <alignment horizontal="right" vertical="top" wrapText="1"/>
    </xf>
    <xf numFmtId="9" fontId="10" fillId="0" borderId="10" xfId="2" applyFont="1" applyBorder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0" fillId="0" borderId="7" xfId="0" applyFill="1" applyBorder="1" applyAlignment="1">
      <alignment vertical="top"/>
    </xf>
    <xf numFmtId="0" fontId="0" fillId="0" borderId="1" xfId="0" applyFill="1" applyBorder="1" applyAlignment="1">
      <alignment vertical="top"/>
    </xf>
    <xf numFmtId="9" fontId="5" fillId="0" borderId="1" xfId="0" applyNumberFormat="1" applyFont="1" applyFill="1" applyBorder="1" applyAlignment="1">
      <alignment vertical="top"/>
    </xf>
    <xf numFmtId="164" fontId="0" fillId="0" borderId="1" xfId="0" applyNumberFormat="1" applyFill="1" applyBorder="1" applyAlignment="1">
      <alignment vertical="top"/>
    </xf>
    <xf numFmtId="0" fontId="0" fillId="0" borderId="1" xfId="0" quotePrefix="1" applyFill="1" applyBorder="1" applyAlignment="1">
      <alignment vertical="top"/>
    </xf>
    <xf numFmtId="0" fontId="0" fillId="0" borderId="8" xfId="0" applyFill="1" applyBorder="1" applyAlignment="1">
      <alignment vertical="top"/>
    </xf>
    <xf numFmtId="0" fontId="0" fillId="0" borderId="0" xfId="0" applyFill="1" applyAlignment="1">
      <alignment vertical="top"/>
    </xf>
    <xf numFmtId="164" fontId="0" fillId="0" borderId="1" xfId="0" applyNumberFormat="1" applyFill="1" applyBorder="1" applyAlignment="1">
      <alignment horizontal="left" vertical="top"/>
    </xf>
    <xf numFmtId="164" fontId="0" fillId="0" borderId="1" xfId="0" quotePrefix="1" applyNumberFormat="1" applyFill="1" applyBorder="1" applyAlignment="1">
      <alignment vertical="top"/>
    </xf>
    <xf numFmtId="9" fontId="0" fillId="0" borderId="1" xfId="0" quotePrefix="1" applyNumberFormat="1" applyFill="1" applyBorder="1" applyAlignment="1">
      <alignment vertical="top"/>
    </xf>
    <xf numFmtId="169" fontId="5" fillId="0" borderId="1" xfId="0" applyNumberFormat="1" applyFont="1" applyFill="1" applyBorder="1" applyAlignment="1">
      <alignment vertical="top"/>
    </xf>
    <xf numFmtId="0" fontId="0" fillId="3" borderId="7" xfId="0" applyFill="1" applyBorder="1" applyAlignment="1">
      <alignment vertical="top"/>
    </xf>
    <xf numFmtId="0" fontId="0" fillId="3" borderId="10" xfId="0" applyFill="1" applyBorder="1" applyAlignment="1">
      <alignment vertical="top"/>
    </xf>
    <xf numFmtId="0" fontId="9" fillId="0" borderId="10" xfId="0" applyFont="1" applyFill="1" applyBorder="1" applyAlignment="1">
      <alignment horizontal="left" vertical="center"/>
    </xf>
    <xf numFmtId="0" fontId="0" fillId="0" borderId="10" xfId="0" applyFill="1" applyBorder="1" applyAlignment="1">
      <alignment vertical="top"/>
    </xf>
    <xf numFmtId="168" fontId="10" fillId="0" borderId="10" xfId="3" applyNumberFormat="1" applyFont="1" applyFill="1" applyBorder="1" applyAlignment="1">
      <alignment vertical="center"/>
    </xf>
    <xf numFmtId="9" fontId="10" fillId="0" borderId="10" xfId="2" applyFont="1" applyFill="1" applyBorder="1" applyAlignment="1">
      <alignment horizontal="right" vertical="center"/>
    </xf>
    <xf numFmtId="168" fontId="9" fillId="0" borderId="10" xfId="3" applyNumberFormat="1" applyFont="1" applyFill="1" applyBorder="1" applyAlignment="1">
      <alignment horizontal="center" vertical="center"/>
    </xf>
    <xf numFmtId="3" fontId="9" fillId="0" borderId="10" xfId="0" applyNumberFormat="1" applyFont="1" applyFill="1" applyBorder="1" applyAlignment="1">
      <alignment horizontal="left" vertical="center"/>
    </xf>
    <xf numFmtId="44" fontId="9" fillId="0" borderId="10" xfId="1" applyFont="1" applyFill="1" applyBorder="1" applyAlignment="1">
      <alignment horizontal="left" vertical="center"/>
    </xf>
    <xf numFmtId="0" fontId="14" fillId="0" borderId="0" xfId="0" applyFont="1" applyFill="1"/>
    <xf numFmtId="0" fontId="4" fillId="0" borderId="0" xfId="0" applyFont="1" applyFill="1"/>
    <xf numFmtId="8" fontId="9" fillId="0" borderId="10" xfId="1" applyNumberFormat="1" applyFont="1" applyFill="1" applyBorder="1" applyAlignment="1">
      <alignment horizontal="left" vertical="center"/>
    </xf>
    <xf numFmtId="168" fontId="5" fillId="0" borderId="10" xfId="3" applyNumberFormat="1" applyFont="1" applyFill="1" applyBorder="1" applyAlignment="1">
      <alignment vertical="top"/>
    </xf>
    <xf numFmtId="9" fontId="5" fillId="0" borderId="10" xfId="2" applyFont="1" applyFill="1" applyBorder="1" applyAlignment="1">
      <alignment horizontal="right" vertical="top"/>
    </xf>
    <xf numFmtId="0" fontId="9" fillId="0" borderId="11" xfId="0" applyFont="1" applyFill="1" applyBorder="1" applyAlignment="1">
      <alignment horizontal="left" vertical="center"/>
    </xf>
    <xf numFmtId="168" fontId="10" fillId="0" borderId="11" xfId="3" applyNumberFormat="1" applyFont="1" applyFill="1" applyBorder="1" applyAlignment="1">
      <alignment vertical="center"/>
    </xf>
    <xf numFmtId="9" fontId="10" fillId="0" borderId="11" xfId="2" applyFont="1" applyFill="1" applyBorder="1" applyAlignment="1">
      <alignment horizontal="right" vertical="center"/>
    </xf>
    <xf numFmtId="3" fontId="9" fillId="0" borderId="11" xfId="0" applyNumberFormat="1" applyFont="1" applyFill="1" applyBorder="1" applyAlignment="1">
      <alignment horizontal="left" vertical="center"/>
    </xf>
    <xf numFmtId="8" fontId="9" fillId="0" borderId="11" xfId="1" applyNumberFormat="1" applyFont="1" applyFill="1" applyBorder="1" applyAlignment="1">
      <alignment horizontal="left" vertical="center"/>
    </xf>
    <xf numFmtId="164" fontId="0" fillId="0" borderId="1" xfId="0" applyNumberFormat="1" applyFill="1" applyBorder="1" applyAlignment="1">
      <alignment horizontal="center" vertical="center"/>
    </xf>
    <xf numFmtId="165" fontId="0" fillId="0" borderId="1" xfId="0" applyNumberFormat="1" applyFill="1" applyBorder="1" applyAlignment="1">
      <alignment vertical="top"/>
    </xf>
    <xf numFmtId="49" fontId="0" fillId="0" borderId="1" xfId="0" applyNumberFormat="1" applyFill="1" applyBorder="1" applyAlignment="1">
      <alignment vertical="top"/>
    </xf>
    <xf numFmtId="9" fontId="0" fillId="0" borderId="1" xfId="0" applyNumberFormat="1" applyFill="1" applyBorder="1" applyAlignment="1">
      <alignment vertical="top"/>
    </xf>
    <xf numFmtId="10" fontId="0" fillId="0" borderId="1" xfId="0" applyNumberFormat="1" applyFill="1" applyBorder="1" applyAlignment="1">
      <alignment vertical="top"/>
    </xf>
  </cellXfs>
  <cellStyles count="5">
    <cellStyle name="Komma" xfId="3" builtinId="3"/>
    <cellStyle name="Procent" xfId="2" builtinId="5"/>
    <cellStyle name="Standaard" xfId="0" builtinId="0"/>
    <cellStyle name="Valuta" xfId="1" builtinId="4"/>
    <cellStyle name="Valuta 2" xfId="4" xr:uid="{54BBDE56-7303-4A85-B7D5-C388A45D6F56}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[$€-413]\ * #,##0_ ;_ [$€-413]\ * \-#,##0_ ;_ [$€-413]\ * &quot;-&quot;??_ ;_ @_ 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7" formatCode="_ &quot;€&quot;\ * #,##0.0_ ;_ &quot;€&quot;\ * \-#,##0.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6" formatCode="_ &quot;€&quot;\ * #,##0_ ;_ &quot;€&quot;\ * \-#,##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6" formatCode="_ &quot;€&quot;\ * #,##0_ ;_ &quot;€&quot;\ * \-#,##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[$€-413]\ * #,##0_ ;_ [$€-413]\ * \-#,##0_ ;_ [$€-413]\ * &quot;-&quot;??_ ;_ @_ 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8" formatCode="_ * #,##0.0_ ;_ * \-#,##0.0_ ;_ * &quot;-&quot;??_ ;_ @_ 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8" formatCode="_ * #,##0.0_ ;_ * \-#,##0.0_ ;_ * &quot;-&quot;??_ ;_ @_ "/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0" indent="0" justifyLastLine="0" shrinkToFit="0" readingOrder="0"/>
    </dxf>
    <dxf>
      <border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rgb="FFAFCB5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mruColors>
      <color rgb="FFAFCB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</xdr:row>
      <xdr:rowOff>28575</xdr:rowOff>
    </xdr:from>
    <xdr:to>
      <xdr:col>1</xdr:col>
      <xdr:colOff>1104900</xdr:colOff>
      <xdr:row>6</xdr:row>
      <xdr:rowOff>123825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1A21501E-7336-4CBA-94AC-A94582A28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219075"/>
          <a:ext cx="10477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</xdr:rowOff>
    </xdr:from>
    <xdr:to>
      <xdr:col>1</xdr:col>
      <xdr:colOff>1085850</xdr:colOff>
      <xdr:row>6</xdr:row>
      <xdr:rowOff>152400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7F807B0-A067-42CA-B8A9-EC94B97934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0"/>
          <a:ext cx="10477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635346A-C25F-4A75-B51D-A1DC23AA2B79}" name="Tabel1" displayName="Tabel1" ref="B16:R84" totalsRowShown="0" headerRowDxfId="21" dataDxfId="19" headerRowBorderDxfId="20" tableBorderDxfId="18" totalsRowBorderDxfId="17">
  <autoFilter ref="B16:R84" xr:uid="{8635346A-C25F-4A75-B51D-A1DC23AA2B79}"/>
  <tableColumns count="17">
    <tableColumn id="1" xr3:uid="{DB3173BC-5E76-4B6E-9E81-5FE140490814}" name="Wind-/zonnepark" dataDxfId="16"/>
    <tableColumn id="2" xr3:uid="{EB04D42B-5B82-4133-89C3-F6756128F825}" name="Coöperatie" dataDxfId="15"/>
    <tableColumn id="3" xr3:uid="{965AEF45-4A40-4280-94CC-9E56872E4D81}" name="Uitgevende instelling" dataDxfId="14"/>
    <tableColumn id="4" xr3:uid="{3951200E-503A-4912-AEEB-9E8E03D59C68}" name="Vermogen totaal (MW)" dataDxfId="13" dataCellStyle="Komma"/>
    <tableColumn id="5" xr3:uid="{A19A430D-56E0-41A7-84FC-6F7F615BBEBD}" name="%- eigendom" dataDxfId="12"/>
    <tableColumn id="6" xr3:uid="{D545ED1D-3D8A-4D9E-A9CA-049CB412580A}" name="Vermogen (MW) toegerekend aan coöperatie" dataDxfId="11" dataCellStyle="Komma"/>
    <tableColumn id="7" xr3:uid="{4CDA23AD-9D0E-41A4-8C07-1DDBAAEEC188}" name="Doelbedrag (of opgehaald bedrag) uitgifte" dataDxfId="10"/>
    <tableColumn id="8" xr3:uid="{9C336B0F-2FCD-493D-81A9-080D1CEA2DAF}" name="Doelbedrag per MW" dataDxfId="9" dataCellStyle="Valuta"/>
    <tableColumn id="9" xr3:uid="{90A4E359-5B17-422E-ACB1-AAD2D117F82D}" name="Investering wind- zonnepark door coöperatie (totaal, % aandelenverhouding)" dataDxfId="8" dataCellStyle="Valuta"/>
    <tableColumn id="10" xr3:uid="{CCC297E3-AD86-4884-BE68-B20378B9B6F0}" name="Investering per MW (miljoen euro)" dataDxfId="7" dataCellStyle="Valuta"/>
    <tableColumn id="11" xr3:uid="{D227DB16-E02A-413A-A039-4939FBB24E98}" name="Doelbedrag/ investering -%" dataDxfId="6" dataCellStyle="Procent"/>
    <tableColumn id="12" xr3:uid="{324FA8D1-321F-46CC-A685-9EAB3E78FBA6}" name="Type obligatie/ kapitaalinleg" dataDxfId="5"/>
    <tableColumn id="13" xr3:uid="{B5D3868E-195D-47BB-B839-0EA97C671A53}" name="Euro per stuk" dataDxfId="4"/>
    <tableColumn id="14" xr3:uid="{6A7A040C-6B99-4E84-8242-70872A3137AA}" name="Maximum per deelnemer" dataDxfId="3"/>
    <tableColumn id="15" xr3:uid="{2B7CBDC7-EBFB-4176-A292-9C5E261FCCA5}" name="Verwacht rendement" dataDxfId="2"/>
    <tableColumn id="16" xr3:uid="{FB06C85E-CBCE-4CFC-BADF-10E86992D446}" name="Looptijd" dataDxfId="1"/>
    <tableColumn id="17" xr3:uid="{D93EF999-CE4C-479E-A5D8-848BECA10FA6}" name="Voorwaarden deelname" dataDxfId="0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ABADB-9011-48EC-B499-07FB14408416}">
  <dimension ref="B9:R86"/>
  <sheetViews>
    <sheetView tabSelected="1" zoomScale="80" zoomScaleNormal="80" workbookViewId="0">
      <selection activeCell="C10" sqref="C10"/>
    </sheetView>
  </sheetViews>
  <sheetFormatPr defaultRowHeight="15" customHeight="1" x14ac:dyDescent="0.25"/>
  <cols>
    <col min="1" max="1" width="8" customWidth="1"/>
    <col min="2" max="2" width="50" customWidth="1"/>
    <col min="3" max="3" width="27" customWidth="1"/>
    <col min="4" max="4" width="21.5703125" customWidth="1"/>
    <col min="5" max="5" width="11.5703125" style="5" customWidth="1"/>
    <col min="6" max="6" width="11.7109375" style="5" customWidth="1"/>
    <col min="7" max="7" width="17.140625" style="9" customWidth="1"/>
    <col min="8" max="8" width="20.42578125" customWidth="1"/>
    <col min="9" max="9" width="16.140625" style="6" customWidth="1"/>
    <col min="10" max="10" width="22.140625" style="6" customWidth="1"/>
    <col min="11" max="11" width="14.85546875" style="6" customWidth="1"/>
    <col min="12" max="12" width="16.140625" style="7" customWidth="1"/>
    <col min="13" max="13" width="37.85546875" customWidth="1"/>
    <col min="14" max="14" width="18.85546875" customWidth="1"/>
    <col min="15" max="15" width="13.85546875" customWidth="1"/>
    <col min="16" max="16" width="28" customWidth="1"/>
    <col min="17" max="17" width="21" customWidth="1"/>
    <col min="18" max="18" width="41.5703125" customWidth="1"/>
  </cols>
  <sheetData>
    <row r="9" spans="2:18" ht="22.5" customHeight="1" x14ac:dyDescent="0.35">
      <c r="B9" s="1" t="s">
        <v>368</v>
      </c>
    </row>
    <row r="10" spans="2:18" ht="15" customHeight="1" x14ac:dyDescent="0.25">
      <c r="B10" s="2" t="s">
        <v>250</v>
      </c>
    </row>
    <row r="11" spans="2:18" ht="15" customHeight="1" x14ac:dyDescent="0.25">
      <c r="B11" s="52" t="s">
        <v>249</v>
      </c>
    </row>
    <row r="13" spans="2:18" ht="15" customHeight="1" x14ac:dyDescent="0.25">
      <c r="G13" t="s">
        <v>213</v>
      </c>
    </row>
    <row r="14" spans="2:18" ht="15" customHeight="1" x14ac:dyDescent="0.3">
      <c r="B14" s="10" t="s">
        <v>251</v>
      </c>
      <c r="M14" s="3"/>
    </row>
    <row r="16" spans="2:18" s="17" customFormat="1" ht="62.25" customHeight="1" x14ac:dyDescent="0.25">
      <c r="B16" s="11" t="s">
        <v>212</v>
      </c>
      <c r="C16" s="12" t="s">
        <v>0</v>
      </c>
      <c r="D16" s="12" t="s">
        <v>1</v>
      </c>
      <c r="E16" s="13" t="s">
        <v>104</v>
      </c>
      <c r="F16" s="13" t="s">
        <v>103</v>
      </c>
      <c r="G16" s="14" t="s">
        <v>211</v>
      </c>
      <c r="H16" s="12" t="s">
        <v>315</v>
      </c>
      <c r="I16" s="15" t="s">
        <v>125</v>
      </c>
      <c r="J16" s="15" t="s">
        <v>293</v>
      </c>
      <c r="K16" s="15" t="s">
        <v>126</v>
      </c>
      <c r="L16" s="15" t="s">
        <v>105</v>
      </c>
      <c r="M16" s="12" t="s">
        <v>336</v>
      </c>
      <c r="N16" s="12" t="s">
        <v>2</v>
      </c>
      <c r="O16" s="12" t="s">
        <v>3</v>
      </c>
      <c r="P16" s="12" t="s">
        <v>4</v>
      </c>
      <c r="Q16" s="12" t="s">
        <v>5</v>
      </c>
      <c r="R16" s="16" t="s">
        <v>6</v>
      </c>
    </row>
    <row r="17" spans="2:18" s="4" customFormat="1" ht="15" customHeight="1" x14ac:dyDescent="0.25">
      <c r="B17" s="18" t="s">
        <v>7</v>
      </c>
      <c r="C17" s="19" t="s">
        <v>8</v>
      </c>
      <c r="D17" s="19" t="s">
        <v>79</v>
      </c>
      <c r="E17" s="20">
        <v>102</v>
      </c>
      <c r="F17" s="21">
        <v>0.6</v>
      </c>
      <c r="G17" s="22">
        <v>61.199999999999996</v>
      </c>
      <c r="H17" s="32">
        <v>21850000</v>
      </c>
      <c r="I17" s="24">
        <v>357026.14379084972</v>
      </c>
      <c r="J17" s="24">
        <v>120000000</v>
      </c>
      <c r="K17" s="26">
        <v>1.9607843137254903</v>
      </c>
      <c r="L17" s="27">
        <v>0.18208333333333335</v>
      </c>
      <c r="M17" s="19" t="s">
        <v>102</v>
      </c>
      <c r="N17" s="23">
        <v>500</v>
      </c>
      <c r="O17" s="23">
        <v>250000</v>
      </c>
      <c r="P17" s="19" t="s">
        <v>80</v>
      </c>
      <c r="Q17" s="19" t="s">
        <v>10</v>
      </c>
      <c r="R17" s="28" t="s">
        <v>209</v>
      </c>
    </row>
    <row r="18" spans="2:18" s="4" customFormat="1" ht="15" customHeight="1" x14ac:dyDescent="0.25">
      <c r="B18" s="18" t="s">
        <v>11</v>
      </c>
      <c r="C18" s="19" t="s">
        <v>12</v>
      </c>
      <c r="D18" s="19" t="s">
        <v>13</v>
      </c>
      <c r="E18" s="20">
        <v>16.8</v>
      </c>
      <c r="F18" s="21">
        <v>0.5</v>
      </c>
      <c r="G18" s="22">
        <v>8.4</v>
      </c>
      <c r="H18" s="23">
        <v>2860000</v>
      </c>
      <c r="I18" s="24">
        <v>340476.19047619047</v>
      </c>
      <c r="J18" s="24">
        <v>18650000</v>
      </c>
      <c r="K18" s="26">
        <v>2.2202380952380953</v>
      </c>
      <c r="L18" s="27">
        <v>0.15335120643431635</v>
      </c>
      <c r="M18" s="19" t="s">
        <v>84</v>
      </c>
      <c r="N18" s="23">
        <v>250</v>
      </c>
      <c r="O18" s="19" t="s">
        <v>15</v>
      </c>
      <c r="P18" s="19" t="s">
        <v>16</v>
      </c>
      <c r="Q18" s="19" t="s">
        <v>83</v>
      </c>
      <c r="R18" s="28" t="s">
        <v>17</v>
      </c>
    </row>
    <row r="19" spans="2:18" s="4" customFormat="1" ht="15" customHeight="1" x14ac:dyDescent="0.25">
      <c r="B19" s="18" t="s">
        <v>18</v>
      </c>
      <c r="C19" s="19" t="s">
        <v>19</v>
      </c>
      <c r="D19" s="19" t="s">
        <v>13</v>
      </c>
      <c r="E19" s="20">
        <v>14.4</v>
      </c>
      <c r="F19" s="21">
        <v>0.25</v>
      </c>
      <c r="G19" s="22">
        <v>3.6</v>
      </c>
      <c r="H19" s="23">
        <v>700000</v>
      </c>
      <c r="I19" s="24">
        <v>194444.44444444444</v>
      </c>
      <c r="J19" s="24">
        <v>4500000</v>
      </c>
      <c r="K19" s="26">
        <v>1.25</v>
      </c>
      <c r="L19" s="27">
        <v>0.15555555555555556</v>
      </c>
      <c r="M19" s="19" t="s">
        <v>14</v>
      </c>
      <c r="N19" s="23">
        <v>87.5</v>
      </c>
      <c r="O19" s="19" t="s">
        <v>20</v>
      </c>
      <c r="P19" s="19" t="s">
        <v>82</v>
      </c>
      <c r="Q19" s="19" t="s">
        <v>21</v>
      </c>
      <c r="R19" s="28" t="s">
        <v>81</v>
      </c>
    </row>
    <row r="20" spans="2:18" s="4" customFormat="1" ht="15" customHeight="1" x14ac:dyDescent="0.25">
      <c r="B20" s="18" t="s">
        <v>23</v>
      </c>
      <c r="C20" s="19" t="s">
        <v>24</v>
      </c>
      <c r="D20" s="19" t="s">
        <v>13</v>
      </c>
      <c r="E20" s="20">
        <v>13.5</v>
      </c>
      <c r="F20" s="21">
        <v>1</v>
      </c>
      <c r="G20" s="22">
        <v>13.5</v>
      </c>
      <c r="H20" s="23">
        <v>2100000</v>
      </c>
      <c r="I20" s="24">
        <v>155555.55555555556</v>
      </c>
      <c r="J20" s="24">
        <v>14000000</v>
      </c>
      <c r="K20" s="26">
        <v>1.037037037037037</v>
      </c>
      <c r="L20" s="27">
        <v>0.15</v>
      </c>
      <c r="M20" s="19" t="s">
        <v>25</v>
      </c>
      <c r="N20" s="23">
        <v>250</v>
      </c>
      <c r="O20" s="19" t="s">
        <v>20</v>
      </c>
      <c r="P20" s="19" t="s">
        <v>95</v>
      </c>
      <c r="Q20" s="19" t="s">
        <v>26</v>
      </c>
      <c r="R20" s="28" t="s">
        <v>27</v>
      </c>
    </row>
    <row r="21" spans="2:18" s="78" customFormat="1" ht="15" customHeight="1" x14ac:dyDescent="0.25">
      <c r="B21" s="72" t="s">
        <v>117</v>
      </c>
      <c r="C21" s="73" t="s">
        <v>118</v>
      </c>
      <c r="D21" s="73" t="s">
        <v>13</v>
      </c>
      <c r="E21" s="22">
        <v>9</v>
      </c>
      <c r="F21" s="74">
        <v>1</v>
      </c>
      <c r="G21" s="22">
        <v>9</v>
      </c>
      <c r="H21" s="102" t="s">
        <v>65</v>
      </c>
      <c r="I21" s="24"/>
      <c r="J21" s="24"/>
      <c r="K21" s="26">
        <v>0</v>
      </c>
      <c r="L21" s="27"/>
      <c r="M21" s="73"/>
      <c r="N21" s="75"/>
      <c r="O21" s="73"/>
      <c r="P21" s="73"/>
      <c r="Q21" s="73"/>
      <c r="R21" s="77"/>
    </row>
    <row r="22" spans="2:18" s="78" customFormat="1" ht="15" customHeight="1" x14ac:dyDescent="0.25">
      <c r="B22" s="72" t="s">
        <v>132</v>
      </c>
      <c r="C22" s="73" t="s">
        <v>133</v>
      </c>
      <c r="D22" s="73" t="s">
        <v>13</v>
      </c>
      <c r="E22" s="22">
        <v>18</v>
      </c>
      <c r="F22" s="74">
        <v>0.5</v>
      </c>
      <c r="G22" s="22">
        <v>9</v>
      </c>
      <c r="H22" s="102" t="s">
        <v>65</v>
      </c>
      <c r="I22" s="24"/>
      <c r="J22" s="24"/>
      <c r="K22" s="26">
        <v>0</v>
      </c>
      <c r="L22" s="27"/>
      <c r="M22" s="73"/>
      <c r="N22" s="75"/>
      <c r="O22" s="73"/>
      <c r="P22" s="73"/>
      <c r="Q22" s="73"/>
      <c r="R22" s="77"/>
    </row>
    <row r="23" spans="2:18" s="78" customFormat="1" ht="15" customHeight="1" x14ac:dyDescent="0.25">
      <c r="B23" s="72" t="s">
        <v>28</v>
      </c>
      <c r="C23" s="73" t="s">
        <v>29</v>
      </c>
      <c r="D23" s="73" t="s">
        <v>38</v>
      </c>
      <c r="E23" s="22">
        <v>21.2</v>
      </c>
      <c r="F23" s="74">
        <v>0.25</v>
      </c>
      <c r="G23" s="22">
        <v>5.3</v>
      </c>
      <c r="H23" s="75">
        <v>758375</v>
      </c>
      <c r="I23" s="24">
        <v>143089.62264150943</v>
      </c>
      <c r="J23" s="24">
        <v>6750000</v>
      </c>
      <c r="K23" s="26">
        <v>1.2735849056603774</v>
      </c>
      <c r="L23" s="27">
        <v>0.11235185185185186</v>
      </c>
      <c r="M23" s="73" t="s">
        <v>25</v>
      </c>
      <c r="N23" s="75">
        <v>500</v>
      </c>
      <c r="O23" s="75">
        <v>100000</v>
      </c>
      <c r="P23" s="73" t="s">
        <v>94</v>
      </c>
      <c r="Q23" s="73" t="s">
        <v>30</v>
      </c>
      <c r="R23" s="77" t="s">
        <v>101</v>
      </c>
    </row>
    <row r="24" spans="2:18" s="78" customFormat="1" ht="15" customHeight="1" x14ac:dyDescent="0.25">
      <c r="B24" s="72" t="s">
        <v>108</v>
      </c>
      <c r="C24" s="73" t="s">
        <v>107</v>
      </c>
      <c r="D24" s="73" t="s">
        <v>13</v>
      </c>
      <c r="E24" s="22">
        <v>12.6</v>
      </c>
      <c r="F24" s="74">
        <v>0.5</v>
      </c>
      <c r="G24" s="22">
        <v>6.3</v>
      </c>
      <c r="H24" s="75">
        <v>1162500</v>
      </c>
      <c r="I24" s="24">
        <v>184523.80952380953</v>
      </c>
      <c r="J24" s="24">
        <v>7750000</v>
      </c>
      <c r="K24" s="26">
        <v>1.2301587301587302</v>
      </c>
      <c r="L24" s="27">
        <v>0.15</v>
      </c>
      <c r="M24" s="73" t="s">
        <v>14</v>
      </c>
      <c r="N24" s="75"/>
      <c r="O24" s="75"/>
      <c r="P24" s="73"/>
      <c r="Q24" s="73"/>
      <c r="R24" s="77"/>
    </row>
    <row r="25" spans="2:18" s="78" customFormat="1" ht="15" customHeight="1" x14ac:dyDescent="0.25">
      <c r="B25" s="72" t="s">
        <v>106</v>
      </c>
      <c r="C25" s="73" t="s">
        <v>45</v>
      </c>
      <c r="D25" s="73" t="s">
        <v>13</v>
      </c>
      <c r="E25" s="22">
        <v>10</v>
      </c>
      <c r="F25" s="74">
        <v>1</v>
      </c>
      <c r="G25" s="22">
        <v>10</v>
      </c>
      <c r="H25" s="75">
        <v>2000000</v>
      </c>
      <c r="I25" s="24">
        <v>200000</v>
      </c>
      <c r="J25" s="24">
        <v>15100000</v>
      </c>
      <c r="K25" s="26">
        <v>1.51</v>
      </c>
      <c r="L25" s="27">
        <v>0.13245033112582782</v>
      </c>
      <c r="M25" s="73" t="s">
        <v>25</v>
      </c>
      <c r="N25" s="75"/>
      <c r="O25" s="75"/>
      <c r="P25" s="73"/>
      <c r="Q25" s="73"/>
      <c r="R25" s="77"/>
    </row>
    <row r="26" spans="2:18" s="78" customFormat="1" ht="15" customHeight="1" x14ac:dyDescent="0.25">
      <c r="B26" s="72" t="s">
        <v>109</v>
      </c>
      <c r="C26" s="73" t="s">
        <v>110</v>
      </c>
      <c r="D26" s="73" t="s">
        <v>13</v>
      </c>
      <c r="E26" s="22">
        <v>15.4</v>
      </c>
      <c r="F26" s="74">
        <v>0.5</v>
      </c>
      <c r="G26" s="22">
        <v>7.7</v>
      </c>
      <c r="H26" s="75">
        <v>1500000</v>
      </c>
      <c r="I26" s="24">
        <v>194805.1948051948</v>
      </c>
      <c r="J26" s="24">
        <v>7750000</v>
      </c>
      <c r="K26" s="26">
        <v>1.0064935064935066</v>
      </c>
      <c r="L26" s="27">
        <v>0.19354838709677419</v>
      </c>
      <c r="M26" s="73" t="s">
        <v>25</v>
      </c>
      <c r="N26" s="75"/>
      <c r="O26" s="75"/>
      <c r="P26" s="73"/>
      <c r="Q26" s="73"/>
      <c r="R26" s="77"/>
    </row>
    <row r="27" spans="2:18" s="78" customFormat="1" ht="15" customHeight="1" x14ac:dyDescent="0.25">
      <c r="B27" s="72" t="s">
        <v>111</v>
      </c>
      <c r="C27" s="73" t="s">
        <v>112</v>
      </c>
      <c r="D27" s="73" t="s">
        <v>38</v>
      </c>
      <c r="E27" s="22">
        <v>7.6</v>
      </c>
      <c r="F27" s="74">
        <v>1</v>
      </c>
      <c r="G27" s="22">
        <v>7.6</v>
      </c>
      <c r="H27" s="75">
        <v>1300000</v>
      </c>
      <c r="I27" s="24">
        <v>171052.63157894739</v>
      </c>
      <c r="J27" s="24">
        <v>9620000</v>
      </c>
      <c r="K27" s="26">
        <v>1.2657894736842106</v>
      </c>
      <c r="L27" s="27">
        <v>0.13513513513513514</v>
      </c>
      <c r="M27" s="73" t="s">
        <v>25</v>
      </c>
      <c r="N27" s="75">
        <v>250</v>
      </c>
      <c r="O27" s="75">
        <v>20000</v>
      </c>
      <c r="P27" s="73" t="s">
        <v>113</v>
      </c>
      <c r="Q27" s="73" t="s">
        <v>30</v>
      </c>
      <c r="R27" s="77" t="s">
        <v>114</v>
      </c>
    </row>
    <row r="28" spans="2:18" s="78" customFormat="1" ht="15" customHeight="1" x14ac:dyDescent="0.25">
      <c r="B28" s="72" t="s">
        <v>137</v>
      </c>
      <c r="C28" s="73" t="s">
        <v>138</v>
      </c>
      <c r="D28" s="73" t="s">
        <v>38</v>
      </c>
      <c r="E28" s="22">
        <v>18</v>
      </c>
      <c r="F28" s="74">
        <v>0.25</v>
      </c>
      <c r="G28" s="22">
        <v>4.5</v>
      </c>
      <c r="H28" s="102" t="s">
        <v>65</v>
      </c>
      <c r="I28" s="24"/>
      <c r="J28" s="24"/>
      <c r="K28" s="26"/>
      <c r="L28" s="27"/>
      <c r="M28" s="73"/>
      <c r="N28" s="75"/>
      <c r="O28" s="75"/>
      <c r="P28" s="73"/>
      <c r="Q28" s="73"/>
      <c r="R28" s="77"/>
    </row>
    <row r="29" spans="2:18" s="78" customFormat="1" ht="15" customHeight="1" x14ac:dyDescent="0.25">
      <c r="B29" s="72" t="s">
        <v>31</v>
      </c>
      <c r="C29" s="73" t="s">
        <v>32</v>
      </c>
      <c r="D29" s="73" t="s">
        <v>87</v>
      </c>
      <c r="E29" s="22">
        <v>8.4</v>
      </c>
      <c r="F29" s="74">
        <v>1</v>
      </c>
      <c r="G29" s="22">
        <v>8.4</v>
      </c>
      <c r="H29" s="75">
        <v>450000</v>
      </c>
      <c r="I29" s="24">
        <v>53571.428571428572</v>
      </c>
      <c r="J29" s="24">
        <v>10080000</v>
      </c>
      <c r="K29" s="26">
        <v>1.2</v>
      </c>
      <c r="L29" s="27">
        <v>4.4642857142857144E-2</v>
      </c>
      <c r="M29" s="73" t="s">
        <v>25</v>
      </c>
      <c r="N29" s="75">
        <v>250</v>
      </c>
      <c r="O29" s="103">
        <v>2500</v>
      </c>
      <c r="P29" s="73" t="s">
        <v>93</v>
      </c>
      <c r="Q29" s="73" t="s">
        <v>30</v>
      </c>
      <c r="R29" s="77" t="s">
        <v>33</v>
      </c>
    </row>
    <row r="30" spans="2:18" s="78" customFormat="1" ht="15" customHeight="1" x14ac:dyDescent="0.25">
      <c r="B30" s="72" t="s">
        <v>34</v>
      </c>
      <c r="C30" s="73" t="s">
        <v>35</v>
      </c>
      <c r="D30" s="73" t="s">
        <v>13</v>
      </c>
      <c r="E30" s="22">
        <v>6</v>
      </c>
      <c r="F30" s="74">
        <v>1</v>
      </c>
      <c r="G30" s="22">
        <v>6</v>
      </c>
      <c r="H30" s="32">
        <v>1650000</v>
      </c>
      <c r="I30" s="24">
        <v>275000</v>
      </c>
      <c r="J30" s="24">
        <v>6000000</v>
      </c>
      <c r="K30" s="26">
        <v>1</v>
      </c>
      <c r="L30" s="27">
        <v>0.27500000000000002</v>
      </c>
      <c r="M30" s="73" t="s">
        <v>25</v>
      </c>
      <c r="N30" s="75">
        <v>250</v>
      </c>
      <c r="O30" s="104" t="s">
        <v>96</v>
      </c>
      <c r="P30" s="73" t="s">
        <v>92</v>
      </c>
      <c r="Q30" s="73" t="s">
        <v>83</v>
      </c>
      <c r="R30" s="77" t="s">
        <v>36</v>
      </c>
    </row>
    <row r="31" spans="2:18" s="78" customFormat="1" ht="15" customHeight="1" x14ac:dyDescent="0.25">
      <c r="B31" s="72" t="s">
        <v>214</v>
      </c>
      <c r="C31" s="73" t="s">
        <v>215</v>
      </c>
      <c r="D31" s="73" t="s">
        <v>13</v>
      </c>
      <c r="E31" s="22">
        <v>13.5</v>
      </c>
      <c r="F31" s="74">
        <v>0.8</v>
      </c>
      <c r="G31" s="22">
        <v>10.3</v>
      </c>
      <c r="H31" s="102" t="s">
        <v>65</v>
      </c>
      <c r="I31" s="24"/>
      <c r="J31" s="24"/>
      <c r="K31" s="26"/>
      <c r="L31" s="27"/>
      <c r="M31" s="73"/>
      <c r="N31" s="75"/>
      <c r="O31" s="104"/>
      <c r="P31" s="73"/>
      <c r="Q31" s="73"/>
      <c r="R31" s="77"/>
    </row>
    <row r="32" spans="2:18" s="78" customFormat="1" ht="15" customHeight="1" x14ac:dyDescent="0.25">
      <c r="B32" s="72" t="s">
        <v>241</v>
      </c>
      <c r="C32" s="73" t="s">
        <v>242</v>
      </c>
      <c r="D32" s="73" t="s">
        <v>281</v>
      </c>
      <c r="E32" s="22">
        <v>7.2</v>
      </c>
      <c r="F32" s="74">
        <v>1</v>
      </c>
      <c r="G32" s="22">
        <v>7.2</v>
      </c>
      <c r="H32" s="102">
        <v>4000000</v>
      </c>
      <c r="I32" s="24">
        <v>555555</v>
      </c>
      <c r="J32" s="24">
        <v>12500000</v>
      </c>
      <c r="K32" s="26">
        <f>1.74</f>
        <v>1.74</v>
      </c>
      <c r="L32" s="27">
        <f>Tabel1[[#This Row],[Doelbedrag (of opgehaald bedrag) uitgifte]]/Tabel1[[#This Row],[Investering wind- zonnepark door coöperatie (totaal, % aandelenverhouding)]]</f>
        <v>0.32</v>
      </c>
      <c r="M32" s="73" t="s">
        <v>25</v>
      </c>
      <c r="N32" s="75">
        <v>50</v>
      </c>
      <c r="O32" s="104" t="s">
        <v>20</v>
      </c>
      <c r="P32" s="105" t="s">
        <v>279</v>
      </c>
      <c r="Q32" s="73" t="s">
        <v>225</v>
      </c>
      <c r="R32" s="77" t="s">
        <v>280</v>
      </c>
    </row>
    <row r="33" spans="2:18" s="78" customFormat="1" ht="15" customHeight="1" x14ac:dyDescent="0.25">
      <c r="B33" s="72" t="s">
        <v>278</v>
      </c>
      <c r="C33" s="73" t="s">
        <v>138</v>
      </c>
      <c r="D33" s="73" t="s">
        <v>13</v>
      </c>
      <c r="E33" s="22">
        <v>17.100000000000001</v>
      </c>
      <c r="F33" s="74">
        <v>0.5</v>
      </c>
      <c r="G33" s="22">
        <v>8.6</v>
      </c>
      <c r="H33" s="75" t="s">
        <v>286</v>
      </c>
      <c r="I33" s="24"/>
      <c r="J33" s="25"/>
      <c r="K33" s="26"/>
      <c r="L33" s="27"/>
      <c r="M33" s="73" t="s">
        <v>282</v>
      </c>
      <c r="N33" s="75">
        <v>100</v>
      </c>
      <c r="O33" s="32">
        <v>25000</v>
      </c>
      <c r="P33" s="73" t="s">
        <v>285</v>
      </c>
      <c r="Q33" s="73" t="s">
        <v>283</v>
      </c>
      <c r="R33" s="77" t="s">
        <v>284</v>
      </c>
    </row>
    <row r="34" spans="2:18" s="78" customFormat="1" ht="15" customHeight="1" x14ac:dyDescent="0.25">
      <c r="B34" s="72"/>
      <c r="C34" s="73"/>
      <c r="D34" s="73"/>
      <c r="E34" s="22"/>
      <c r="F34" s="74"/>
      <c r="G34" s="22"/>
      <c r="H34" s="75"/>
      <c r="I34" s="24"/>
      <c r="J34" s="25"/>
      <c r="K34" s="26"/>
      <c r="L34" s="27"/>
      <c r="M34" s="73"/>
      <c r="N34" s="75"/>
      <c r="O34" s="104"/>
      <c r="P34" s="73"/>
      <c r="Q34" s="73"/>
      <c r="R34" s="77"/>
    </row>
    <row r="35" spans="2:18" s="78" customFormat="1" ht="15" customHeight="1" x14ac:dyDescent="0.25">
      <c r="B35" s="72"/>
      <c r="C35" s="73"/>
      <c r="D35" s="73"/>
      <c r="E35" s="22"/>
      <c r="F35" s="74"/>
      <c r="G35" s="22"/>
      <c r="H35" s="44"/>
      <c r="I35" s="24"/>
      <c r="J35" s="24"/>
      <c r="K35" s="26"/>
      <c r="L35" s="27"/>
      <c r="M35" s="73"/>
      <c r="N35" s="75"/>
      <c r="O35" s="104"/>
      <c r="P35" s="73"/>
      <c r="Q35" s="73"/>
      <c r="R35" s="77"/>
    </row>
    <row r="36" spans="2:18" s="78" customFormat="1" ht="15" customHeight="1" x14ac:dyDescent="0.25">
      <c r="B36" s="72" t="s">
        <v>37</v>
      </c>
      <c r="C36" s="73" t="s">
        <v>86</v>
      </c>
      <c r="D36" s="73" t="s">
        <v>38</v>
      </c>
      <c r="E36" s="22">
        <v>18.7</v>
      </c>
      <c r="F36" s="74">
        <v>0.5</v>
      </c>
      <c r="G36" s="22">
        <v>9.35</v>
      </c>
      <c r="H36" s="75">
        <v>1030000</v>
      </c>
      <c r="I36" s="24">
        <v>110160.42780748663</v>
      </c>
      <c r="J36" s="24">
        <v>8157500</v>
      </c>
      <c r="K36" s="26">
        <v>0.87245989304812832</v>
      </c>
      <c r="L36" s="27">
        <v>0.12626417407293902</v>
      </c>
      <c r="M36" s="73" t="s">
        <v>9</v>
      </c>
      <c r="N36" s="75">
        <v>250</v>
      </c>
      <c r="O36" s="73" t="s">
        <v>39</v>
      </c>
      <c r="P36" s="73" t="s">
        <v>91</v>
      </c>
      <c r="Q36" s="73" t="s">
        <v>40</v>
      </c>
      <c r="R36" s="77"/>
    </row>
    <row r="37" spans="2:18" s="78" customFormat="1" ht="15" customHeight="1" x14ac:dyDescent="0.25">
      <c r="B37" s="72" t="s">
        <v>41</v>
      </c>
      <c r="C37" s="73" t="s">
        <v>42</v>
      </c>
      <c r="D37" s="73" t="s">
        <v>43</v>
      </c>
      <c r="E37" s="22">
        <v>2.7</v>
      </c>
      <c r="F37" s="74">
        <v>0.5</v>
      </c>
      <c r="G37" s="22">
        <v>1.35</v>
      </c>
      <c r="H37" s="75">
        <v>458000</v>
      </c>
      <c r="I37" s="24">
        <v>339259.25925925921</v>
      </c>
      <c r="J37" s="24">
        <f>50%*2235500</f>
        <v>1117750</v>
      </c>
      <c r="K37" s="26">
        <f>Tabel1[[#This Row],[Investering wind- zonnepark door coöperatie (totaal, % aandelenverhouding)]]/Tabel1[[#This Row],[Vermogen (MW) toegerekend aan coöperatie]]/1000000</f>
        <v>0.8279629629629629</v>
      </c>
      <c r="L37" s="27">
        <v>0.20487586669648847</v>
      </c>
      <c r="M37" s="73" t="s">
        <v>25</v>
      </c>
      <c r="N37" s="75">
        <v>250</v>
      </c>
      <c r="O37" s="73"/>
      <c r="P37" s="106" t="s">
        <v>90</v>
      </c>
      <c r="Q37" s="73" t="s">
        <v>21</v>
      </c>
      <c r="R37" s="77" t="s">
        <v>22</v>
      </c>
    </row>
    <row r="38" spans="2:18" s="78" customFormat="1" ht="15" customHeight="1" x14ac:dyDescent="0.25">
      <c r="B38" s="72" t="s">
        <v>44</v>
      </c>
      <c r="C38" s="73" t="s">
        <v>45</v>
      </c>
      <c r="D38" s="73" t="s">
        <v>13</v>
      </c>
      <c r="E38" s="22">
        <v>5</v>
      </c>
      <c r="F38" s="74">
        <v>0.9</v>
      </c>
      <c r="G38" s="22">
        <v>4.5</v>
      </c>
      <c r="H38" s="75">
        <v>510000</v>
      </c>
      <c r="I38" s="24">
        <v>113333.33333333333</v>
      </c>
      <c r="J38" s="24">
        <v>3966000</v>
      </c>
      <c r="K38" s="26">
        <v>0.88133333333333341</v>
      </c>
      <c r="L38" s="29">
        <v>0.14288115649689023</v>
      </c>
      <c r="M38" s="73" t="s">
        <v>14</v>
      </c>
      <c r="N38" s="75">
        <v>50</v>
      </c>
      <c r="O38" s="75">
        <v>10000</v>
      </c>
      <c r="P38" s="73" t="s">
        <v>46</v>
      </c>
      <c r="Q38" s="73" t="s">
        <v>47</v>
      </c>
      <c r="R38" s="77" t="s">
        <v>100</v>
      </c>
    </row>
    <row r="39" spans="2:18" s="78" customFormat="1" ht="15" customHeight="1" x14ac:dyDescent="0.25">
      <c r="B39" s="72" t="s">
        <v>48</v>
      </c>
      <c r="C39" s="73" t="s">
        <v>49</v>
      </c>
      <c r="D39" s="73" t="s">
        <v>38</v>
      </c>
      <c r="E39" s="22">
        <v>0.8</v>
      </c>
      <c r="F39" s="74">
        <v>1</v>
      </c>
      <c r="G39" s="22">
        <v>0.8</v>
      </c>
      <c r="H39" s="75">
        <v>300000</v>
      </c>
      <c r="I39" s="24">
        <v>375000</v>
      </c>
      <c r="J39" s="24">
        <v>650000</v>
      </c>
      <c r="K39" s="26">
        <v>0.8125</v>
      </c>
      <c r="L39" s="27">
        <v>0.46153846153846156</v>
      </c>
      <c r="M39" s="73" t="s">
        <v>25</v>
      </c>
      <c r="N39" s="75">
        <v>100</v>
      </c>
      <c r="O39" s="75">
        <v>10000</v>
      </c>
      <c r="P39" s="73" t="s">
        <v>89</v>
      </c>
      <c r="Q39" s="73" t="s">
        <v>50</v>
      </c>
      <c r="R39" s="77" t="s">
        <v>51</v>
      </c>
    </row>
    <row r="40" spans="2:18" s="4" customFormat="1" ht="15" customHeight="1" x14ac:dyDescent="0.25">
      <c r="B40" s="18" t="s">
        <v>52</v>
      </c>
      <c r="C40" s="19" t="s">
        <v>53</v>
      </c>
      <c r="D40" s="19" t="s">
        <v>38</v>
      </c>
      <c r="E40" s="22">
        <v>1.6</v>
      </c>
      <c r="F40" s="21">
        <v>1</v>
      </c>
      <c r="G40" s="22">
        <v>1.6</v>
      </c>
      <c r="H40" s="23">
        <v>875000</v>
      </c>
      <c r="I40" s="24">
        <v>546875</v>
      </c>
      <c r="J40" s="24">
        <v>1300000</v>
      </c>
      <c r="K40" s="26">
        <v>0.8125</v>
      </c>
      <c r="L40" s="29">
        <f>Tabel1[[#This Row],[Doelbedrag (of opgehaald bedrag) uitgifte]]/Tabel1[[#This Row],[Investering wind- zonnepark door coöperatie (totaal, % aandelenverhouding)]]</f>
        <v>0.67307692307692313</v>
      </c>
      <c r="M40" s="19" t="s">
        <v>14</v>
      </c>
      <c r="N40" s="23">
        <v>250</v>
      </c>
      <c r="O40" s="30" t="s">
        <v>97</v>
      </c>
      <c r="P40" s="19" t="s">
        <v>54</v>
      </c>
      <c r="Q40" s="19" t="s">
        <v>21</v>
      </c>
      <c r="R40" s="28" t="s">
        <v>99</v>
      </c>
    </row>
    <row r="41" spans="2:18" s="4" customFormat="1" ht="15" customHeight="1" x14ac:dyDescent="0.25">
      <c r="B41" s="18" t="s">
        <v>55</v>
      </c>
      <c r="C41" s="19" t="s">
        <v>56</v>
      </c>
      <c r="D41" s="19" t="s">
        <v>13</v>
      </c>
      <c r="E41" s="22">
        <v>2.4</v>
      </c>
      <c r="F41" s="21">
        <v>1</v>
      </c>
      <c r="G41" s="22">
        <v>2.4</v>
      </c>
      <c r="H41" s="23">
        <v>90000</v>
      </c>
      <c r="I41" s="24">
        <v>37500</v>
      </c>
      <c r="J41" s="24">
        <v>3240000</v>
      </c>
      <c r="K41" s="26">
        <v>1.35</v>
      </c>
      <c r="L41" s="27">
        <v>2.7777777777777776E-2</v>
      </c>
      <c r="M41" s="19" t="s">
        <v>14</v>
      </c>
      <c r="N41" s="23">
        <v>50</v>
      </c>
      <c r="O41" s="31">
        <v>5000</v>
      </c>
      <c r="P41" s="19"/>
      <c r="Q41" s="19" t="s">
        <v>57</v>
      </c>
      <c r="R41" s="28" t="s">
        <v>27</v>
      </c>
    </row>
    <row r="42" spans="2:18" s="4" customFormat="1" ht="15" customHeight="1" x14ac:dyDescent="0.25">
      <c r="B42" s="18" t="s">
        <v>58</v>
      </c>
      <c r="C42" s="19" t="s">
        <v>59</v>
      </c>
      <c r="D42" s="19" t="s">
        <v>13</v>
      </c>
      <c r="E42" s="22">
        <v>6</v>
      </c>
      <c r="F42" s="21">
        <v>1</v>
      </c>
      <c r="G42" s="22">
        <v>6</v>
      </c>
      <c r="H42" s="23">
        <v>59000</v>
      </c>
      <c r="I42" s="24">
        <v>9833.3333333333339</v>
      </c>
      <c r="J42" s="24">
        <v>4050000</v>
      </c>
      <c r="K42" s="26">
        <v>0.67500000000000004</v>
      </c>
      <c r="L42" s="27">
        <v>1.4567901234567901E-2</v>
      </c>
      <c r="M42" s="19" t="s">
        <v>25</v>
      </c>
      <c r="N42" s="23">
        <v>50</v>
      </c>
      <c r="O42" s="31">
        <v>5000</v>
      </c>
      <c r="P42" s="48" t="s">
        <v>93</v>
      </c>
      <c r="Q42" s="19" t="s">
        <v>21</v>
      </c>
      <c r="R42" s="28" t="s">
        <v>27</v>
      </c>
    </row>
    <row r="43" spans="2:18" s="4" customFormat="1" ht="15" customHeight="1" x14ac:dyDescent="0.25">
      <c r="B43" s="18" t="s">
        <v>60</v>
      </c>
      <c r="C43" s="19" t="s">
        <v>61</v>
      </c>
      <c r="D43" s="19" t="s">
        <v>13</v>
      </c>
      <c r="E43" s="22">
        <v>2.4</v>
      </c>
      <c r="F43" s="21">
        <v>0.49</v>
      </c>
      <c r="G43" s="22">
        <v>1.1759999999999999</v>
      </c>
      <c r="H43" s="23">
        <v>350000</v>
      </c>
      <c r="I43" s="24">
        <v>297619.04761904763</v>
      </c>
      <c r="J43" s="24">
        <f>49%*2400000</f>
        <v>1176000</v>
      </c>
      <c r="K43" s="26">
        <f>Tabel1[[#This Row],[Investering wind- zonnepark door coöperatie (totaal, % aandelenverhouding)]]/Tabel1[[#This Row],[Vermogen (MW) toegerekend aan coöperatie]]/1000000</f>
        <v>1</v>
      </c>
      <c r="L43" s="27">
        <v>0.14583333333333334</v>
      </c>
      <c r="M43" s="19" t="s">
        <v>25</v>
      </c>
      <c r="N43" s="23">
        <v>100</v>
      </c>
      <c r="O43" s="31">
        <v>10000</v>
      </c>
      <c r="P43" s="19" t="s">
        <v>88</v>
      </c>
      <c r="Q43" s="19" t="s">
        <v>30</v>
      </c>
      <c r="R43" s="28" t="s">
        <v>62</v>
      </c>
    </row>
    <row r="44" spans="2:18" s="4" customFormat="1" ht="15" customHeight="1" x14ac:dyDescent="0.25">
      <c r="B44" s="18" t="s">
        <v>134</v>
      </c>
      <c r="C44" s="19" t="s">
        <v>135</v>
      </c>
      <c r="D44" s="19" t="s">
        <v>38</v>
      </c>
      <c r="E44" s="22">
        <v>3.6</v>
      </c>
      <c r="F44" s="21">
        <v>1</v>
      </c>
      <c r="G44" s="22">
        <v>3.6</v>
      </c>
      <c r="H44" s="23">
        <v>440000</v>
      </c>
      <c r="I44" s="24">
        <v>122222.22222222222</v>
      </c>
      <c r="J44" s="24">
        <v>2941000</v>
      </c>
      <c r="K44" s="26">
        <v>0.81694444444444436</v>
      </c>
      <c r="L44" s="27">
        <v>0.14960897653859231</v>
      </c>
      <c r="M44" s="19" t="s">
        <v>25</v>
      </c>
      <c r="N44" s="23">
        <v>250</v>
      </c>
      <c r="O44" s="31" t="s">
        <v>136</v>
      </c>
      <c r="P44" s="19" t="s">
        <v>330</v>
      </c>
      <c r="Q44" s="19" t="s">
        <v>21</v>
      </c>
      <c r="R44" s="28" t="s">
        <v>27</v>
      </c>
    </row>
    <row r="45" spans="2:18" s="4" customFormat="1" ht="15" customHeight="1" x14ac:dyDescent="0.25">
      <c r="B45" s="18" t="s">
        <v>63</v>
      </c>
      <c r="C45" s="19" t="s">
        <v>64</v>
      </c>
      <c r="D45" s="19" t="s">
        <v>13</v>
      </c>
      <c r="E45" s="22">
        <v>12.8</v>
      </c>
      <c r="F45" s="21">
        <v>0.03</v>
      </c>
      <c r="G45" s="22">
        <v>0.38400000000000001</v>
      </c>
      <c r="H45" s="23">
        <v>60600</v>
      </c>
      <c r="I45" s="24">
        <v>157812.5</v>
      </c>
      <c r="J45" s="24">
        <v>403000</v>
      </c>
      <c r="K45" s="26">
        <v>1.0494791666666667</v>
      </c>
      <c r="L45" s="27">
        <v>0.15037220843672455</v>
      </c>
      <c r="M45" s="19" t="s">
        <v>9</v>
      </c>
      <c r="N45" s="23">
        <v>50</v>
      </c>
      <c r="O45" s="19" t="s">
        <v>65</v>
      </c>
      <c r="P45" s="19" t="s">
        <v>88</v>
      </c>
      <c r="Q45" s="19" t="s">
        <v>21</v>
      </c>
      <c r="R45" s="28" t="s">
        <v>66</v>
      </c>
    </row>
    <row r="46" spans="2:18" s="4" customFormat="1" ht="15" customHeight="1" x14ac:dyDescent="0.25">
      <c r="B46" s="18" t="s">
        <v>310</v>
      </c>
      <c r="C46" s="19" t="s">
        <v>68</v>
      </c>
      <c r="D46" s="19" t="s">
        <v>13</v>
      </c>
      <c r="E46" s="22">
        <v>13</v>
      </c>
      <c r="F46" s="21">
        <v>0</v>
      </c>
      <c r="G46" s="22">
        <v>0</v>
      </c>
      <c r="H46" s="23">
        <v>250000</v>
      </c>
      <c r="I46" s="24">
        <v>19230.76923076923</v>
      </c>
      <c r="J46" s="24">
        <v>15600000</v>
      </c>
      <c r="K46" s="26">
        <v>1.2</v>
      </c>
      <c r="L46" s="27">
        <v>1.6025641025641024E-2</v>
      </c>
      <c r="M46" s="19" t="s">
        <v>364</v>
      </c>
      <c r="N46" s="23">
        <v>500</v>
      </c>
      <c r="O46" s="19" t="s">
        <v>65</v>
      </c>
      <c r="P46" s="49" t="s">
        <v>329</v>
      </c>
      <c r="Q46" s="19" t="s">
        <v>69</v>
      </c>
      <c r="R46" s="28" t="s">
        <v>70</v>
      </c>
    </row>
    <row r="47" spans="2:18" s="4" customFormat="1" ht="15" customHeight="1" x14ac:dyDescent="0.25">
      <c r="B47" s="18" t="s">
        <v>71</v>
      </c>
      <c r="C47" s="19" t="s">
        <v>85</v>
      </c>
      <c r="D47" s="19" t="s">
        <v>72</v>
      </c>
      <c r="E47" s="22">
        <v>5.8</v>
      </c>
      <c r="F47" s="21">
        <v>1</v>
      </c>
      <c r="G47" s="22">
        <v>5.8</v>
      </c>
      <c r="H47" s="23">
        <v>720000</v>
      </c>
      <c r="I47" s="24">
        <v>124137.93103448277</v>
      </c>
      <c r="J47" s="24">
        <v>3600000</v>
      </c>
      <c r="K47" s="26">
        <v>0.62068965517241381</v>
      </c>
      <c r="L47" s="27">
        <v>0.2</v>
      </c>
      <c r="M47" s="19" t="s">
        <v>14</v>
      </c>
      <c r="N47" s="23">
        <v>100</v>
      </c>
      <c r="O47" s="19" t="s">
        <v>65</v>
      </c>
      <c r="P47" s="19" t="s">
        <v>73</v>
      </c>
      <c r="Q47" s="19" t="s">
        <v>74</v>
      </c>
      <c r="R47" s="28" t="s">
        <v>75</v>
      </c>
    </row>
    <row r="48" spans="2:18" s="4" customFormat="1" ht="15" customHeight="1" x14ac:dyDescent="0.25">
      <c r="B48" s="18" t="s">
        <v>119</v>
      </c>
      <c r="C48" s="19" t="s">
        <v>120</v>
      </c>
      <c r="D48" s="19" t="s">
        <v>38</v>
      </c>
      <c r="E48" s="22">
        <v>0.8</v>
      </c>
      <c r="F48" s="21">
        <v>1</v>
      </c>
      <c r="G48" s="22">
        <v>0.8</v>
      </c>
      <c r="H48" s="23">
        <v>50000</v>
      </c>
      <c r="I48" s="24">
        <v>62500</v>
      </c>
      <c r="J48" s="46">
        <v>937200</v>
      </c>
      <c r="K48" s="26">
        <v>1.1715</v>
      </c>
      <c r="L48" s="27">
        <v>5.3350405463081521E-2</v>
      </c>
      <c r="M48" s="19" t="s">
        <v>25</v>
      </c>
      <c r="N48" s="23">
        <v>250</v>
      </c>
      <c r="O48" s="32">
        <v>5000</v>
      </c>
      <c r="P48" s="19" t="s">
        <v>121</v>
      </c>
      <c r="Q48" s="19" t="s">
        <v>122</v>
      </c>
      <c r="R48" s="28" t="s">
        <v>123</v>
      </c>
    </row>
    <row r="49" spans="2:18" s="4" customFormat="1" ht="15" customHeight="1" x14ac:dyDescent="0.25">
      <c r="B49" s="18" t="s">
        <v>127</v>
      </c>
      <c r="C49" s="19" t="s">
        <v>130</v>
      </c>
      <c r="D49" s="19" t="s">
        <v>131</v>
      </c>
      <c r="E49" s="22">
        <v>1.6</v>
      </c>
      <c r="F49" s="21">
        <v>1</v>
      </c>
      <c r="G49" s="22">
        <v>1.6</v>
      </c>
      <c r="H49" s="23">
        <v>375000</v>
      </c>
      <c r="I49" s="24">
        <v>234375</v>
      </c>
      <c r="J49" s="24">
        <v>1875000</v>
      </c>
      <c r="K49" s="26">
        <v>1.171875</v>
      </c>
      <c r="L49" s="27">
        <v>0.2</v>
      </c>
      <c r="M49" s="19" t="s">
        <v>25</v>
      </c>
      <c r="N49" s="23">
        <v>300</v>
      </c>
      <c r="O49" s="32" t="s">
        <v>65</v>
      </c>
      <c r="P49" s="19" t="s">
        <v>128</v>
      </c>
      <c r="Q49" s="19"/>
      <c r="R49" s="28" t="s">
        <v>129</v>
      </c>
    </row>
    <row r="50" spans="2:18" s="4" customFormat="1" ht="15" customHeight="1" x14ac:dyDescent="0.25">
      <c r="B50" s="18" t="s">
        <v>115</v>
      </c>
      <c r="C50" s="19" t="s">
        <v>116</v>
      </c>
      <c r="D50" s="19" t="s">
        <v>38</v>
      </c>
      <c r="E50" s="22">
        <v>9.5</v>
      </c>
      <c r="F50" s="21">
        <v>1</v>
      </c>
      <c r="G50" s="22">
        <v>9.5</v>
      </c>
      <c r="H50" s="23">
        <v>540000</v>
      </c>
      <c r="I50" s="24">
        <v>56842.105263157893</v>
      </c>
      <c r="J50" s="24">
        <v>5400000</v>
      </c>
      <c r="K50" s="26">
        <v>0.56842105263157894</v>
      </c>
      <c r="L50" s="27">
        <v>0.1</v>
      </c>
      <c r="M50" s="19" t="s">
        <v>14</v>
      </c>
      <c r="N50" s="23" t="s">
        <v>65</v>
      </c>
      <c r="O50" s="19" t="s">
        <v>65</v>
      </c>
      <c r="P50" s="19" t="s">
        <v>65</v>
      </c>
      <c r="Q50" s="19"/>
      <c r="R50" s="28"/>
    </row>
    <row r="51" spans="2:18" s="4" customFormat="1" ht="15" customHeight="1" x14ac:dyDescent="0.25">
      <c r="B51" s="33" t="s">
        <v>312</v>
      </c>
      <c r="C51" s="34" t="s">
        <v>76</v>
      </c>
      <c r="D51" s="34" t="s">
        <v>72</v>
      </c>
      <c r="E51" s="37">
        <v>1.6</v>
      </c>
      <c r="F51" s="36">
        <v>1</v>
      </c>
      <c r="G51" s="37">
        <v>1.6</v>
      </c>
      <c r="H51" s="38">
        <v>570000</v>
      </c>
      <c r="I51" s="39">
        <v>356250</v>
      </c>
      <c r="J51" s="39">
        <v>1400000</v>
      </c>
      <c r="K51" s="41">
        <v>0.875</v>
      </c>
      <c r="L51" s="42">
        <v>0.40714285714285714</v>
      </c>
      <c r="M51" s="34" t="s">
        <v>14</v>
      </c>
      <c r="N51" s="38">
        <v>100</v>
      </c>
      <c r="O51" s="34" t="s">
        <v>98</v>
      </c>
      <c r="P51" s="34" t="s">
        <v>77</v>
      </c>
      <c r="Q51" s="34" t="s">
        <v>21</v>
      </c>
      <c r="R51" s="43" t="s">
        <v>78</v>
      </c>
    </row>
    <row r="52" spans="2:18" s="4" customFormat="1" ht="15" customHeight="1" x14ac:dyDescent="0.25">
      <c r="B52" s="18" t="s">
        <v>366</v>
      </c>
      <c r="C52" s="19" t="s">
        <v>244</v>
      </c>
      <c r="D52" s="19" t="s">
        <v>13</v>
      </c>
      <c r="E52" s="22">
        <v>27.4</v>
      </c>
      <c r="F52" s="21" t="s">
        <v>248</v>
      </c>
      <c r="G52" s="22">
        <v>16.399999999999999</v>
      </c>
      <c r="H52" s="23">
        <f>1095*1000</f>
        <v>1095000</v>
      </c>
      <c r="I52" s="24">
        <f>1095000/16.4</f>
        <v>66768.29268292684</v>
      </c>
      <c r="J52" s="46" t="s">
        <v>65</v>
      </c>
      <c r="K52" s="26"/>
      <c r="L52" s="27"/>
      <c r="M52" s="34" t="s">
        <v>245</v>
      </c>
      <c r="N52" s="23">
        <v>1000</v>
      </c>
      <c r="O52" s="19"/>
      <c r="P52" s="48" t="s">
        <v>246</v>
      </c>
      <c r="Q52" s="19" t="s">
        <v>247</v>
      </c>
      <c r="R52" s="28" t="s">
        <v>27</v>
      </c>
    </row>
    <row r="53" spans="2:18" s="4" customFormat="1" ht="15" customHeight="1" x14ac:dyDescent="0.25">
      <c r="B53" s="18" t="s">
        <v>216</v>
      </c>
      <c r="C53" s="19" t="s">
        <v>217</v>
      </c>
      <c r="D53" s="19" t="s">
        <v>38</v>
      </c>
      <c r="E53" s="22">
        <v>9.4</v>
      </c>
      <c r="F53" s="21">
        <v>0.5</v>
      </c>
      <c r="G53" s="22">
        <v>4.7</v>
      </c>
      <c r="H53" s="23">
        <v>800000</v>
      </c>
      <c r="I53" s="24">
        <f>800000/4.7</f>
        <v>170212.7659574468</v>
      </c>
      <c r="J53" s="24">
        <f>50%*6400000</f>
        <v>3200000</v>
      </c>
      <c r="K53" s="26">
        <f>6400000/9.4/1000000</f>
        <v>0.68085106382978722</v>
      </c>
      <c r="L53" s="27">
        <f>800000/3200000</f>
        <v>0.25</v>
      </c>
      <c r="M53" s="19" t="s">
        <v>25</v>
      </c>
      <c r="N53" s="23">
        <v>250</v>
      </c>
      <c r="O53" s="32">
        <v>20000</v>
      </c>
      <c r="P53" s="19" t="s">
        <v>224</v>
      </c>
      <c r="Q53" s="19" t="s">
        <v>225</v>
      </c>
      <c r="R53" s="28" t="s">
        <v>228</v>
      </c>
    </row>
    <row r="54" spans="2:18" s="4" customFormat="1" ht="15" customHeight="1" x14ac:dyDescent="0.25">
      <c r="B54" s="18" t="s">
        <v>218</v>
      </c>
      <c r="C54" s="19" t="s">
        <v>12</v>
      </c>
      <c r="D54" s="19" t="s">
        <v>13</v>
      </c>
      <c r="E54" s="22">
        <v>1.2</v>
      </c>
      <c r="F54" s="21">
        <v>1</v>
      </c>
      <c r="G54" s="22">
        <v>1.2</v>
      </c>
      <c r="H54" s="23">
        <v>215000</v>
      </c>
      <c r="I54" s="24">
        <f>215000/1.2</f>
        <v>179166.66666666669</v>
      </c>
      <c r="J54" s="24">
        <v>865000</v>
      </c>
      <c r="K54" s="26">
        <f>865000/1.2/1000000</f>
        <v>0.72083333333333333</v>
      </c>
      <c r="L54" s="27">
        <f>215/865</f>
        <v>0.24855491329479767</v>
      </c>
      <c r="M54" s="19" t="s">
        <v>14</v>
      </c>
      <c r="N54" s="23">
        <v>250</v>
      </c>
      <c r="O54" s="32">
        <v>7500</v>
      </c>
      <c r="P54" s="19" t="s">
        <v>239</v>
      </c>
      <c r="Q54" s="19" t="s">
        <v>240</v>
      </c>
      <c r="R54" s="28" t="s">
        <v>27</v>
      </c>
    </row>
    <row r="55" spans="2:18" s="4" customFormat="1" ht="15" customHeight="1" x14ac:dyDescent="0.25">
      <c r="B55" s="18" t="s">
        <v>219</v>
      </c>
      <c r="C55" s="19" t="s">
        <v>291</v>
      </c>
      <c r="D55" s="19" t="s">
        <v>298</v>
      </c>
      <c r="E55" s="22">
        <v>18.7</v>
      </c>
      <c r="F55" s="55">
        <v>0.25</v>
      </c>
      <c r="G55" s="22">
        <v>4.7</v>
      </c>
      <c r="H55" s="54" t="s">
        <v>309</v>
      </c>
      <c r="I55" s="24"/>
      <c r="J55" s="24"/>
      <c r="K55" s="26"/>
      <c r="L55" s="27"/>
      <c r="M55" s="19"/>
      <c r="N55" s="23"/>
      <c r="O55" s="19"/>
      <c r="P55" s="19"/>
      <c r="Q55" s="19"/>
      <c r="R55" s="28"/>
    </row>
    <row r="56" spans="2:18" s="4" customFormat="1" ht="15" customHeight="1" x14ac:dyDescent="0.25">
      <c r="B56" s="18" t="s">
        <v>237</v>
      </c>
      <c r="C56" s="19" t="s">
        <v>221</v>
      </c>
      <c r="D56" s="19" t="s">
        <v>38</v>
      </c>
      <c r="E56" s="22">
        <f>3.9+5</f>
        <v>8.9</v>
      </c>
      <c r="F56" s="21">
        <v>1</v>
      </c>
      <c r="G56" s="22">
        <f>3.9+5</f>
        <v>8.9</v>
      </c>
      <c r="H56" s="23">
        <v>270000</v>
      </c>
      <c r="I56" s="24">
        <f>270000/8.9</f>
        <v>30337.078651685391</v>
      </c>
      <c r="J56" s="46" t="s">
        <v>65</v>
      </c>
      <c r="K56" s="26"/>
      <c r="L56" s="27"/>
      <c r="M56" s="19" t="s">
        <v>25</v>
      </c>
      <c r="N56" s="23">
        <v>100</v>
      </c>
      <c r="O56" s="32">
        <v>10000</v>
      </c>
      <c r="P56" s="19" t="s">
        <v>329</v>
      </c>
      <c r="Q56" s="19" t="s">
        <v>21</v>
      </c>
      <c r="R56" s="28" t="s">
        <v>27</v>
      </c>
    </row>
    <row r="57" spans="2:18" s="4" customFormat="1" ht="15" customHeight="1" x14ac:dyDescent="0.25">
      <c r="B57" s="18" t="s">
        <v>220</v>
      </c>
      <c r="C57" s="19" t="s">
        <v>221</v>
      </c>
      <c r="D57" s="19" t="s">
        <v>72</v>
      </c>
      <c r="E57" s="22">
        <v>1.1000000000000001</v>
      </c>
      <c r="F57" s="21">
        <v>1</v>
      </c>
      <c r="G57" s="22">
        <v>1.1000000000000001</v>
      </c>
      <c r="H57" s="23">
        <v>85000</v>
      </c>
      <c r="I57" s="24">
        <f>85000/1.1</f>
        <v>77272.727272727265</v>
      </c>
      <c r="J57" s="46" t="s">
        <v>65</v>
      </c>
      <c r="K57" s="26"/>
      <c r="L57" s="27"/>
      <c r="M57" s="19" t="s">
        <v>25</v>
      </c>
      <c r="N57" s="23">
        <v>100</v>
      </c>
      <c r="O57" s="51">
        <v>5000</v>
      </c>
      <c r="P57" s="19" t="s">
        <v>329</v>
      </c>
      <c r="Q57" s="19" t="s">
        <v>21</v>
      </c>
      <c r="R57" s="28" t="s">
        <v>27</v>
      </c>
    </row>
    <row r="58" spans="2:18" s="4" customFormat="1" ht="15" customHeight="1" x14ac:dyDescent="0.25">
      <c r="B58" s="18" t="s">
        <v>222</v>
      </c>
      <c r="C58" s="19" t="s">
        <v>223</v>
      </c>
      <c r="D58" s="19" t="s">
        <v>13</v>
      </c>
      <c r="E58" s="22">
        <v>12.6</v>
      </c>
      <c r="F58" s="21">
        <v>0.25</v>
      </c>
      <c r="G58" s="22">
        <v>3.2</v>
      </c>
      <c r="H58" s="23">
        <v>800000</v>
      </c>
      <c r="I58" s="24">
        <f>800000/3.2</f>
        <v>250000</v>
      </c>
      <c r="J58" s="46" t="s">
        <v>65</v>
      </c>
      <c r="K58" s="26"/>
      <c r="L58" s="27"/>
      <c r="M58" s="19" t="s">
        <v>25</v>
      </c>
      <c r="N58" s="23">
        <v>100</v>
      </c>
      <c r="O58" s="32">
        <v>50000</v>
      </c>
      <c r="P58" s="19" t="s">
        <v>88</v>
      </c>
      <c r="Q58" s="19" t="s">
        <v>30</v>
      </c>
      <c r="R58" s="28" t="s">
        <v>236</v>
      </c>
    </row>
    <row r="59" spans="2:18" s="4" customFormat="1" ht="15" customHeight="1" x14ac:dyDescent="0.25">
      <c r="B59" s="18" t="s">
        <v>243</v>
      </c>
      <c r="C59" s="19" t="s">
        <v>311</v>
      </c>
      <c r="D59" s="19"/>
      <c r="E59" s="22">
        <v>19.5</v>
      </c>
      <c r="F59" s="21">
        <v>0.3</v>
      </c>
      <c r="G59" s="22">
        <v>5.9</v>
      </c>
      <c r="H59" s="50" t="s">
        <v>65</v>
      </c>
      <c r="I59" s="24"/>
      <c r="J59" s="24"/>
      <c r="K59" s="26"/>
      <c r="L59" s="27"/>
      <c r="M59" s="19"/>
      <c r="N59" s="23"/>
      <c r="O59" s="19"/>
      <c r="P59" s="19"/>
      <c r="Q59" s="19"/>
      <c r="R59" s="28"/>
    </row>
    <row r="61" spans="2:18" s="4" customFormat="1" ht="15" customHeight="1" x14ac:dyDescent="0.25">
      <c r="B61" s="83" t="s">
        <v>367</v>
      </c>
      <c r="C61" s="19"/>
      <c r="D61" s="19"/>
      <c r="E61" s="22"/>
      <c r="F61" s="21"/>
      <c r="G61" s="22"/>
      <c r="H61" s="23"/>
      <c r="I61" s="24"/>
      <c r="J61" s="25"/>
      <c r="K61" s="26"/>
      <c r="L61" s="27"/>
      <c r="M61" s="19"/>
      <c r="N61" s="23"/>
      <c r="O61" s="32"/>
      <c r="P61" s="53"/>
      <c r="Q61" s="19"/>
      <c r="R61" s="28"/>
    </row>
    <row r="62" spans="2:18" s="78" customFormat="1" ht="15" customHeight="1" x14ac:dyDescent="0.25">
      <c r="B62" s="72" t="s">
        <v>226</v>
      </c>
      <c r="C62" s="73" t="s">
        <v>227</v>
      </c>
      <c r="D62" s="73" t="s">
        <v>38</v>
      </c>
      <c r="E62" s="22">
        <v>9.5</v>
      </c>
      <c r="F62" s="74">
        <v>0.5</v>
      </c>
      <c r="G62" s="22">
        <v>4.7</v>
      </c>
      <c r="H62" s="75">
        <v>1400000</v>
      </c>
      <c r="I62" s="24">
        <f>1400000/4.7</f>
        <v>297872.3404255319</v>
      </c>
      <c r="J62" s="24">
        <f>50%*5800000</f>
        <v>2900000</v>
      </c>
      <c r="K62" s="26">
        <f>2900000/4.7/1000000</f>
        <v>0.61702127659574468</v>
      </c>
      <c r="L62" s="27">
        <f>1.4/2.9</f>
        <v>0.48275862068965514</v>
      </c>
      <c r="M62" s="73" t="s">
        <v>229</v>
      </c>
      <c r="N62" s="75">
        <v>250</v>
      </c>
      <c r="O62" s="32">
        <v>100000</v>
      </c>
      <c r="P62" s="76" t="s">
        <v>331</v>
      </c>
      <c r="Q62" s="73" t="s">
        <v>289</v>
      </c>
      <c r="R62" s="77" t="s">
        <v>27</v>
      </c>
    </row>
    <row r="63" spans="2:18" s="78" customFormat="1" ht="15" customHeight="1" x14ac:dyDescent="0.25">
      <c r="B63" s="72" t="s">
        <v>276</v>
      </c>
      <c r="C63" s="73" t="s">
        <v>232</v>
      </c>
      <c r="D63" s="73" t="s">
        <v>38</v>
      </c>
      <c r="E63" s="22">
        <v>10</v>
      </c>
      <c r="F63" s="74">
        <v>0.1</v>
      </c>
      <c r="G63" s="22">
        <v>1</v>
      </c>
      <c r="H63" s="75">
        <v>954000</v>
      </c>
      <c r="I63" s="24">
        <f>954000/1</f>
        <v>954000</v>
      </c>
      <c r="J63" s="24">
        <f>6460000*50%</f>
        <v>3230000</v>
      </c>
      <c r="K63" s="26">
        <f>6460000/12000000</f>
        <v>0.53833333333333333</v>
      </c>
      <c r="L63" s="27">
        <f>1454000/3230000</f>
        <v>0.45015479876160991</v>
      </c>
      <c r="M63" s="73" t="s">
        <v>233</v>
      </c>
      <c r="N63" s="79" t="s">
        <v>296</v>
      </c>
      <c r="O63" s="32" t="s">
        <v>295</v>
      </c>
      <c r="P63" s="73" t="s">
        <v>234</v>
      </c>
      <c r="Q63" s="73" t="s">
        <v>235</v>
      </c>
      <c r="R63" s="77" t="s">
        <v>294</v>
      </c>
    </row>
    <row r="64" spans="2:18" s="78" customFormat="1" ht="15" customHeight="1" x14ac:dyDescent="0.25">
      <c r="B64" s="72" t="s">
        <v>252</v>
      </c>
      <c r="C64" s="73" t="s">
        <v>275</v>
      </c>
      <c r="D64" s="73" t="s">
        <v>38</v>
      </c>
      <c r="E64" s="22">
        <v>36</v>
      </c>
      <c r="F64" s="74">
        <v>0.5</v>
      </c>
      <c r="G64" s="22">
        <v>18</v>
      </c>
      <c r="H64" s="75">
        <v>850000</v>
      </c>
      <c r="I64" s="24">
        <f>850000/18</f>
        <v>47222.222222222219</v>
      </c>
      <c r="J64" s="24">
        <f>17300000*50%</f>
        <v>8650000</v>
      </c>
      <c r="K64" s="26">
        <f>8.65/18</f>
        <v>0.48055555555555557</v>
      </c>
      <c r="L64" s="27">
        <f>850000/8650000</f>
        <v>9.8265895953757232E-2</v>
      </c>
      <c r="M64" s="73" t="s">
        <v>229</v>
      </c>
      <c r="N64" s="75">
        <v>250</v>
      </c>
      <c r="O64" s="32">
        <v>20000</v>
      </c>
      <c r="P64" s="73" t="s">
        <v>297</v>
      </c>
      <c r="Q64" s="73" t="s">
        <v>240</v>
      </c>
      <c r="R64" s="77" t="s">
        <v>27</v>
      </c>
    </row>
    <row r="65" spans="2:18" s="78" customFormat="1" ht="15" customHeight="1" x14ac:dyDescent="0.25">
      <c r="B65" s="72" t="s">
        <v>253</v>
      </c>
      <c r="C65" s="73" t="s">
        <v>274</v>
      </c>
      <c r="D65" s="73" t="s">
        <v>298</v>
      </c>
      <c r="E65" s="22">
        <v>21.344000000000001</v>
      </c>
      <c r="F65" s="74">
        <v>0.51</v>
      </c>
      <c r="G65" s="22">
        <v>10.88</v>
      </c>
      <c r="H65" s="75" t="s">
        <v>308</v>
      </c>
      <c r="I65" s="24"/>
      <c r="J65" s="24"/>
      <c r="K65" s="26"/>
      <c r="L65" s="27"/>
      <c r="M65" s="73"/>
      <c r="N65" s="75"/>
      <c r="O65" s="32"/>
      <c r="P65" s="73"/>
      <c r="Q65" s="73"/>
      <c r="R65" s="77"/>
    </row>
    <row r="66" spans="2:18" s="78" customFormat="1" ht="15" customHeight="1" x14ac:dyDescent="0.25">
      <c r="B66" s="72" t="s">
        <v>254</v>
      </c>
      <c r="C66" s="73" t="s">
        <v>273</v>
      </c>
      <c r="D66" s="73" t="s">
        <v>298</v>
      </c>
      <c r="E66" s="22">
        <v>21.135999999999999</v>
      </c>
      <c r="F66" s="74">
        <v>0.5</v>
      </c>
      <c r="G66" s="22">
        <v>10.568</v>
      </c>
      <c r="H66" s="75" t="s">
        <v>307</v>
      </c>
      <c r="I66" s="24"/>
      <c r="J66" s="24"/>
      <c r="K66" s="26"/>
      <c r="L66" s="27"/>
      <c r="M66" s="73"/>
      <c r="N66" s="75"/>
      <c r="O66" s="32"/>
      <c r="P66" s="73"/>
      <c r="Q66" s="73"/>
      <c r="R66" s="77"/>
    </row>
    <row r="67" spans="2:18" s="78" customFormat="1" ht="15" customHeight="1" x14ac:dyDescent="0.25">
      <c r="B67" s="72" t="s">
        <v>255</v>
      </c>
      <c r="C67" s="73" t="s">
        <v>272</v>
      </c>
      <c r="D67" s="73" t="s">
        <v>13</v>
      </c>
      <c r="E67" s="22">
        <v>12.8</v>
      </c>
      <c r="F67" s="74">
        <v>0.5</v>
      </c>
      <c r="G67" s="22">
        <v>6.4</v>
      </c>
      <c r="H67" s="75">
        <v>1000000</v>
      </c>
      <c r="I67" s="24">
        <f>1000000/6.4</f>
        <v>156250</v>
      </c>
      <c r="J67" s="24">
        <f>50%*7260000</f>
        <v>3630000</v>
      </c>
      <c r="K67" s="26">
        <f>7.26/12.8</f>
        <v>0.56718749999999996</v>
      </c>
      <c r="L67" s="27">
        <f>1000000/3630000</f>
        <v>0.27548209366391185</v>
      </c>
      <c r="M67" s="73" t="s">
        <v>25</v>
      </c>
      <c r="N67" s="75">
        <v>250</v>
      </c>
      <c r="O67" s="32">
        <v>5000</v>
      </c>
      <c r="P67" s="73" t="s">
        <v>238</v>
      </c>
      <c r="Q67" s="73" t="s">
        <v>289</v>
      </c>
      <c r="R67" s="77"/>
    </row>
    <row r="68" spans="2:18" s="78" customFormat="1" ht="15" customHeight="1" x14ac:dyDescent="0.25">
      <c r="B68" s="72" t="s">
        <v>313</v>
      </c>
      <c r="C68" s="73" t="s">
        <v>271</v>
      </c>
      <c r="D68" s="73" t="s">
        <v>13</v>
      </c>
      <c r="E68" s="22">
        <v>23.524000000000001</v>
      </c>
      <c r="F68" s="74">
        <v>0.11</v>
      </c>
      <c r="G68" s="22">
        <v>2.4950000000000001</v>
      </c>
      <c r="H68" s="75" t="s">
        <v>306</v>
      </c>
      <c r="I68" s="24"/>
      <c r="J68" s="24"/>
      <c r="K68" s="26"/>
      <c r="L68" s="27"/>
      <c r="M68" s="73"/>
      <c r="N68" s="75"/>
      <c r="O68" s="32"/>
      <c r="P68" s="73"/>
      <c r="Q68" s="73"/>
      <c r="R68" s="77"/>
    </row>
    <row r="69" spans="2:18" s="78" customFormat="1" ht="15" customHeight="1" x14ac:dyDescent="0.25">
      <c r="B69" s="72" t="s">
        <v>302</v>
      </c>
      <c r="C69" s="73" t="s">
        <v>24</v>
      </c>
      <c r="D69" s="73" t="s">
        <v>13</v>
      </c>
      <c r="E69" s="22">
        <v>2.25</v>
      </c>
      <c r="F69" s="74">
        <v>1</v>
      </c>
      <c r="G69" s="22">
        <v>2.25</v>
      </c>
      <c r="H69" s="75">
        <v>745000</v>
      </c>
      <c r="I69" s="24">
        <f>745000/2.25</f>
        <v>331111.11111111112</v>
      </c>
      <c r="J69" s="24">
        <v>1600000</v>
      </c>
      <c r="K69" s="26">
        <f>1.6/2.25</f>
        <v>0.71111111111111114</v>
      </c>
      <c r="L69" s="27">
        <f>745000/16000000</f>
        <v>4.65625E-2</v>
      </c>
      <c r="M69" s="73" t="s">
        <v>301</v>
      </c>
      <c r="N69" s="80" t="s">
        <v>299</v>
      </c>
      <c r="O69" s="32" t="s">
        <v>300</v>
      </c>
      <c r="P69" s="73" t="s">
        <v>303</v>
      </c>
      <c r="Q69" s="73" t="s">
        <v>304</v>
      </c>
      <c r="R69" s="77" t="s">
        <v>27</v>
      </c>
    </row>
    <row r="70" spans="2:18" s="78" customFormat="1" ht="15" customHeight="1" x14ac:dyDescent="0.25">
      <c r="B70" s="72" t="s">
        <v>266</v>
      </c>
      <c r="C70" s="73" t="s">
        <v>270</v>
      </c>
      <c r="D70" s="73" t="s">
        <v>13</v>
      </c>
      <c r="E70" s="22">
        <v>1.885</v>
      </c>
      <c r="F70" s="74">
        <v>1</v>
      </c>
      <c r="G70" s="22">
        <v>1.885</v>
      </c>
      <c r="H70" s="75">
        <v>1250000</v>
      </c>
      <c r="I70" s="24">
        <f>1250000/1.885</f>
        <v>663129.97347480105</v>
      </c>
      <c r="J70" s="24" t="s">
        <v>20</v>
      </c>
      <c r="K70" s="26"/>
      <c r="L70" s="27"/>
      <c r="M70" s="73" t="s">
        <v>25</v>
      </c>
      <c r="N70" s="75">
        <v>100</v>
      </c>
      <c r="O70" s="32">
        <v>50000</v>
      </c>
      <c r="P70" s="73" t="s">
        <v>287</v>
      </c>
      <c r="Q70" s="73" t="s">
        <v>21</v>
      </c>
      <c r="R70" s="77" t="s">
        <v>288</v>
      </c>
    </row>
    <row r="71" spans="2:18" s="78" customFormat="1" ht="15" customHeight="1" x14ac:dyDescent="0.25">
      <c r="B71" s="72" t="s">
        <v>292</v>
      </c>
      <c r="C71" s="73" t="s">
        <v>230</v>
      </c>
      <c r="D71" s="73" t="s">
        <v>38</v>
      </c>
      <c r="E71" s="22">
        <v>18.100000000000001</v>
      </c>
      <c r="F71" s="74">
        <v>0.06</v>
      </c>
      <c r="G71" s="22">
        <v>1.0860000000000001</v>
      </c>
      <c r="H71" s="75">
        <v>223500</v>
      </c>
      <c r="I71" s="24">
        <f>233500/1.086</f>
        <v>215009.20810313075</v>
      </c>
      <c r="J71" s="24">
        <f>12000000*6%</f>
        <v>720000</v>
      </c>
      <c r="K71" s="26">
        <f>0.72/1.086</f>
        <v>0.66298342541436461</v>
      </c>
      <c r="L71" s="27">
        <f>223500/720000</f>
        <v>0.31041666666666667</v>
      </c>
      <c r="M71" s="73" t="s">
        <v>229</v>
      </c>
      <c r="N71" s="75">
        <v>500</v>
      </c>
      <c r="O71" s="73" t="s">
        <v>20</v>
      </c>
      <c r="P71" s="81" t="s">
        <v>332</v>
      </c>
      <c r="Q71" s="73" t="s">
        <v>289</v>
      </c>
      <c r="R71" s="77" t="s">
        <v>231</v>
      </c>
    </row>
    <row r="72" spans="2:18" s="78" customFormat="1" ht="15" customHeight="1" x14ac:dyDescent="0.25">
      <c r="B72" s="72" t="s">
        <v>267</v>
      </c>
      <c r="C72" s="73" t="s">
        <v>290</v>
      </c>
      <c r="D72" s="73" t="s">
        <v>13</v>
      </c>
      <c r="E72" s="22">
        <v>17.7</v>
      </c>
      <c r="F72" s="74">
        <v>0.2</v>
      </c>
      <c r="G72" s="22">
        <v>3.54</v>
      </c>
      <c r="H72" s="75">
        <v>625000</v>
      </c>
      <c r="I72" s="24">
        <f>625000/3.54</f>
        <v>176553.67231638418</v>
      </c>
      <c r="J72" s="24">
        <f>20%*10000000</f>
        <v>2000000</v>
      </c>
      <c r="K72" s="26">
        <f>2/3.54</f>
        <v>0.56497175141242939</v>
      </c>
      <c r="L72" s="27">
        <f>0.625/2</f>
        <v>0.3125</v>
      </c>
      <c r="M72" s="73" t="s">
        <v>229</v>
      </c>
      <c r="N72" s="75">
        <v>250</v>
      </c>
      <c r="O72" s="32">
        <v>100000</v>
      </c>
      <c r="P72" s="73" t="s">
        <v>333</v>
      </c>
      <c r="Q72" s="73" t="s">
        <v>289</v>
      </c>
      <c r="R72" s="77" t="s">
        <v>27</v>
      </c>
    </row>
    <row r="73" spans="2:18" s="78" customFormat="1" ht="15" customHeight="1" x14ac:dyDescent="0.25">
      <c r="B73" s="72" t="s">
        <v>268</v>
      </c>
      <c r="C73" s="73" t="s">
        <v>269</v>
      </c>
      <c r="D73" s="73" t="s">
        <v>13</v>
      </c>
      <c r="E73" s="22">
        <v>2.65</v>
      </c>
      <c r="F73" s="74">
        <v>0.19</v>
      </c>
      <c r="G73" s="22">
        <v>500</v>
      </c>
      <c r="H73" s="24" t="s">
        <v>305</v>
      </c>
      <c r="I73" s="24"/>
      <c r="J73" s="25"/>
      <c r="K73" s="26"/>
      <c r="L73" s="27"/>
      <c r="M73" s="73"/>
      <c r="N73" s="75"/>
      <c r="O73" s="32"/>
      <c r="P73" s="73"/>
      <c r="Q73" s="73"/>
      <c r="R73" s="77"/>
    </row>
    <row r="74" spans="2:18" s="78" customFormat="1" ht="15" customHeight="1" x14ac:dyDescent="0.25">
      <c r="B74" s="72" t="s">
        <v>316</v>
      </c>
      <c r="C74" s="73" t="s">
        <v>264</v>
      </c>
      <c r="D74" s="73" t="s">
        <v>314</v>
      </c>
      <c r="E74" s="22">
        <v>8.16</v>
      </c>
      <c r="F74" s="74">
        <v>0.17</v>
      </c>
      <c r="G74" s="22">
        <v>1.36</v>
      </c>
      <c r="H74" s="75">
        <v>140000</v>
      </c>
      <c r="I74" s="24">
        <f>Tabel1[[#This Row],[Doelbedrag (of opgehaald bedrag) uitgifte]]/Tabel1[[#This Row],[Vermogen (MW) toegerekend aan coöperatie]]</f>
        <v>102941.17647058822</v>
      </c>
      <c r="J74" s="25"/>
      <c r="K74" s="26"/>
      <c r="L74" s="27"/>
      <c r="M74" s="73" t="s">
        <v>25</v>
      </c>
      <c r="N74" s="75">
        <v>500</v>
      </c>
      <c r="O74" s="32" t="s">
        <v>20</v>
      </c>
      <c r="P74" s="73" t="s">
        <v>334</v>
      </c>
      <c r="Q74" s="73" t="s">
        <v>21</v>
      </c>
      <c r="R74" s="77" t="s">
        <v>27</v>
      </c>
    </row>
    <row r="75" spans="2:18" s="78" customFormat="1" ht="15" customHeight="1" x14ac:dyDescent="0.25">
      <c r="B75" s="72" t="s">
        <v>317</v>
      </c>
      <c r="C75" s="73" t="s">
        <v>265</v>
      </c>
      <c r="D75" s="73" t="s">
        <v>13</v>
      </c>
      <c r="E75" s="22">
        <v>30</v>
      </c>
      <c r="F75" s="82">
        <v>1.4999999999999999E-2</v>
      </c>
      <c r="G75" s="22">
        <v>500</v>
      </c>
      <c r="H75" s="75" t="s">
        <v>305</v>
      </c>
      <c r="I75" s="24"/>
      <c r="J75" s="25"/>
      <c r="K75" s="26"/>
      <c r="L75" s="27"/>
      <c r="M75" s="73"/>
      <c r="N75" s="75"/>
      <c r="O75" s="32"/>
      <c r="P75" s="73"/>
      <c r="Q75" s="73"/>
      <c r="R75" s="77"/>
    </row>
    <row r="76" spans="2:18" s="78" customFormat="1" ht="15" customHeight="1" x14ac:dyDescent="0.25">
      <c r="B76" s="72" t="s">
        <v>256</v>
      </c>
      <c r="C76" s="73" t="s">
        <v>263</v>
      </c>
      <c r="D76" s="73" t="s">
        <v>13</v>
      </c>
      <c r="E76" s="22">
        <v>0.48199999999999998</v>
      </c>
      <c r="F76" s="74">
        <v>1</v>
      </c>
      <c r="G76" s="22">
        <v>0.48199999999999998</v>
      </c>
      <c r="H76" s="75">
        <v>48500</v>
      </c>
      <c r="I76" s="24">
        <f>48500/0.482</f>
        <v>100622.40663900416</v>
      </c>
      <c r="J76" s="25">
        <f>395000</f>
        <v>395000</v>
      </c>
      <c r="K76" s="26">
        <f>0.395/0.482</f>
        <v>0.81950207468879677</v>
      </c>
      <c r="L76" s="27">
        <f>48500/395000</f>
        <v>0.12278481012658228</v>
      </c>
      <c r="M76" s="73" t="s">
        <v>25</v>
      </c>
      <c r="N76" s="75">
        <v>500</v>
      </c>
      <c r="O76" s="32">
        <v>500</v>
      </c>
      <c r="P76" s="73" t="s">
        <v>335</v>
      </c>
      <c r="Q76" s="73" t="s">
        <v>21</v>
      </c>
      <c r="R76" s="77" t="s">
        <v>27</v>
      </c>
    </row>
    <row r="77" spans="2:18" s="78" customFormat="1" ht="15" customHeight="1" x14ac:dyDescent="0.25">
      <c r="B77" s="72" t="s">
        <v>365</v>
      </c>
      <c r="C77" s="73" t="s">
        <v>230</v>
      </c>
      <c r="D77" s="73" t="s">
        <v>38</v>
      </c>
      <c r="E77" s="22">
        <v>20</v>
      </c>
      <c r="F77" s="74">
        <v>0</v>
      </c>
      <c r="G77" s="22">
        <v>0</v>
      </c>
      <c r="H77" s="75">
        <v>500000</v>
      </c>
      <c r="I77" s="24"/>
      <c r="J77" s="25">
        <v>0</v>
      </c>
      <c r="K77" s="26"/>
      <c r="L77" s="27"/>
      <c r="M77" s="73" t="s">
        <v>364</v>
      </c>
      <c r="N77" s="75">
        <v>500</v>
      </c>
      <c r="O77" s="32"/>
      <c r="P77" s="73" t="s">
        <v>238</v>
      </c>
      <c r="Q77" s="73" t="s">
        <v>21</v>
      </c>
      <c r="R77" s="77"/>
    </row>
    <row r="78" spans="2:18" s="78" customFormat="1" ht="15" customHeight="1" x14ac:dyDescent="0.25">
      <c r="B78" s="72"/>
      <c r="C78" s="73"/>
      <c r="D78" s="73"/>
      <c r="E78" s="22"/>
      <c r="F78" s="74"/>
      <c r="G78" s="22"/>
      <c r="H78" s="75"/>
      <c r="I78" s="24"/>
      <c r="J78" s="25"/>
      <c r="K78" s="26"/>
      <c r="L78" s="27"/>
      <c r="M78" s="73"/>
      <c r="N78" s="75"/>
      <c r="O78" s="32"/>
      <c r="P78" s="73"/>
      <c r="Q78" s="73"/>
      <c r="R78" s="77"/>
    </row>
    <row r="79" spans="2:18" s="78" customFormat="1" ht="15" customHeight="1" x14ac:dyDescent="0.25">
      <c r="B79" s="72"/>
      <c r="C79" s="73"/>
      <c r="D79" s="73"/>
      <c r="E79" s="22"/>
      <c r="F79" s="74"/>
      <c r="G79" s="22"/>
      <c r="H79" s="75"/>
      <c r="I79" s="24"/>
      <c r="J79" s="25"/>
      <c r="K79" s="26"/>
      <c r="L79" s="27"/>
      <c r="M79" s="73"/>
      <c r="N79" s="75"/>
      <c r="O79" s="32"/>
      <c r="P79" s="73"/>
      <c r="Q79" s="73"/>
      <c r="R79" s="77"/>
    </row>
    <row r="80" spans="2:18" s="78" customFormat="1" ht="15" customHeight="1" x14ac:dyDescent="0.25">
      <c r="B80" s="72"/>
      <c r="C80" s="73"/>
      <c r="D80" s="73"/>
      <c r="E80" s="22"/>
      <c r="F80" s="74"/>
      <c r="G80" s="22"/>
      <c r="H80" s="75"/>
      <c r="I80" s="24"/>
      <c r="J80" s="25"/>
      <c r="K80" s="26"/>
      <c r="L80" s="27"/>
      <c r="M80" s="73"/>
      <c r="N80" s="75"/>
      <c r="O80" s="32"/>
      <c r="P80" s="73"/>
      <c r="Q80" s="73"/>
      <c r="R80" s="77"/>
    </row>
    <row r="81" spans="2:18" s="78" customFormat="1" ht="15" customHeight="1" x14ac:dyDescent="0.25">
      <c r="B81" s="72"/>
      <c r="C81" s="73"/>
      <c r="D81" s="73"/>
      <c r="E81" s="22"/>
      <c r="F81" s="74"/>
      <c r="G81" s="22"/>
      <c r="H81" s="75"/>
      <c r="I81" s="24"/>
      <c r="J81" s="25"/>
      <c r="K81" s="26"/>
      <c r="L81" s="27"/>
      <c r="M81" s="73"/>
      <c r="N81" s="75"/>
      <c r="O81" s="32"/>
      <c r="P81" s="73"/>
      <c r="Q81" s="73"/>
      <c r="R81" s="77"/>
    </row>
    <row r="82" spans="2:18" s="4" customFormat="1" ht="15" customHeight="1" x14ac:dyDescent="0.25">
      <c r="B82" s="18"/>
      <c r="C82" s="19"/>
      <c r="D82" s="19"/>
      <c r="E82" s="22"/>
      <c r="F82" s="21"/>
      <c r="G82" s="22"/>
      <c r="H82" s="23"/>
      <c r="I82" s="24"/>
      <c r="J82" s="25"/>
      <c r="K82" s="26"/>
      <c r="L82" s="27"/>
      <c r="M82" s="19"/>
      <c r="N82" s="23"/>
      <c r="O82" s="32"/>
      <c r="P82" s="19"/>
      <c r="Q82" s="19"/>
      <c r="R82" s="28"/>
    </row>
    <row r="83" spans="2:18" s="4" customFormat="1" ht="15" customHeight="1" x14ac:dyDescent="0.25">
      <c r="B83" s="18"/>
      <c r="C83" s="19"/>
      <c r="D83" s="19"/>
      <c r="E83" s="20"/>
      <c r="F83" s="21"/>
      <c r="G83" s="22"/>
      <c r="H83" s="23"/>
      <c r="I83" s="24"/>
      <c r="J83" s="24"/>
      <c r="K83" s="26"/>
      <c r="L83" s="27"/>
      <c r="M83" s="19"/>
      <c r="N83" s="23"/>
      <c r="O83" s="19"/>
      <c r="P83" s="19"/>
      <c r="Q83" s="19"/>
      <c r="R83" s="28"/>
    </row>
    <row r="84" spans="2:18" ht="15" customHeight="1" x14ac:dyDescent="0.25">
      <c r="B84" s="33"/>
      <c r="C84" s="34"/>
      <c r="D84" s="34"/>
      <c r="E84" s="35"/>
      <c r="F84" s="36"/>
      <c r="G84" s="37"/>
      <c r="H84" s="38"/>
      <c r="I84" s="39"/>
      <c r="J84" s="40"/>
      <c r="K84" s="41"/>
      <c r="L84" s="45"/>
      <c r="M84" s="34"/>
      <c r="N84" s="38"/>
      <c r="O84" s="34"/>
      <c r="P84" s="34"/>
      <c r="Q84" s="34"/>
      <c r="R84" s="43"/>
    </row>
    <row r="86" spans="2:18" ht="15" customHeight="1" x14ac:dyDescent="0.25">
      <c r="J86" s="8"/>
      <c r="K86" s="8"/>
    </row>
  </sheetData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61D0E-CD25-46BA-8E18-9D5C186B64C5}">
  <dimension ref="B3:K80"/>
  <sheetViews>
    <sheetView zoomScale="80" zoomScaleNormal="80" workbookViewId="0">
      <selection activeCell="G5" sqref="G5"/>
    </sheetView>
  </sheetViews>
  <sheetFormatPr defaultRowHeight="15" x14ac:dyDescent="0.25"/>
  <cols>
    <col min="1" max="1" width="8.140625" customWidth="1"/>
    <col min="2" max="2" width="45.42578125" customWidth="1"/>
    <col min="3" max="3" width="27" customWidth="1"/>
    <col min="4" max="4" width="17.140625" style="63" customWidth="1"/>
    <col min="5" max="5" width="17.140625" style="68" customWidth="1"/>
    <col min="6" max="6" width="17" style="66" customWidth="1"/>
    <col min="7" max="7" width="40.5703125" customWidth="1"/>
    <col min="8" max="8" width="16.140625" customWidth="1"/>
    <col min="9" max="9" width="25.7109375" customWidth="1"/>
    <col min="10" max="10" width="43.140625" customWidth="1"/>
    <col min="11" max="11" width="18.140625" customWidth="1"/>
    <col min="12" max="12" width="18.42578125" customWidth="1"/>
  </cols>
  <sheetData>
    <row r="3" spans="2:11" x14ac:dyDescent="0.25">
      <c r="H3" s="3"/>
    </row>
    <row r="4" spans="2:11" x14ac:dyDescent="0.25">
      <c r="H4" s="3"/>
    </row>
    <row r="5" spans="2:11" x14ac:dyDescent="0.25">
      <c r="H5" s="3"/>
    </row>
    <row r="6" spans="2:11" x14ac:dyDescent="0.25">
      <c r="H6" s="3"/>
    </row>
    <row r="7" spans="2:11" x14ac:dyDescent="0.25">
      <c r="H7" s="3"/>
    </row>
    <row r="8" spans="2:11" x14ac:dyDescent="0.25">
      <c r="H8" s="3"/>
    </row>
    <row r="9" spans="2:11" ht="23.25" x14ac:dyDescent="0.35">
      <c r="B9" s="1" t="s">
        <v>368</v>
      </c>
      <c r="H9" s="3"/>
    </row>
    <row r="10" spans="2:11" x14ac:dyDescent="0.25">
      <c r="B10" s="2" t="s">
        <v>250</v>
      </c>
      <c r="H10" s="3"/>
    </row>
    <row r="11" spans="2:11" x14ac:dyDescent="0.25">
      <c r="B11" s="52" t="s">
        <v>249</v>
      </c>
      <c r="H11" s="3"/>
    </row>
    <row r="12" spans="2:11" x14ac:dyDescent="0.25">
      <c r="H12" s="3"/>
    </row>
    <row r="13" spans="2:11" x14ac:dyDescent="0.25">
      <c r="H13" s="3"/>
    </row>
    <row r="14" spans="2:11" ht="18.75" x14ac:dyDescent="0.3">
      <c r="B14" s="10" t="s">
        <v>369</v>
      </c>
      <c r="H14" s="3"/>
    </row>
    <row r="15" spans="2:11" x14ac:dyDescent="0.25">
      <c r="H15" s="3"/>
    </row>
    <row r="16" spans="2:11" s="4" customFormat="1" ht="47.25" x14ac:dyDescent="0.25">
      <c r="B16" s="56" t="s">
        <v>139</v>
      </c>
      <c r="C16" s="56" t="s">
        <v>0</v>
      </c>
      <c r="D16" s="64" t="s">
        <v>208</v>
      </c>
      <c r="E16" s="69" t="s">
        <v>318</v>
      </c>
      <c r="F16" s="62" t="s">
        <v>319</v>
      </c>
      <c r="G16" s="57" t="s">
        <v>322</v>
      </c>
      <c r="H16" s="58" t="s">
        <v>354</v>
      </c>
      <c r="I16" s="56" t="s">
        <v>326</v>
      </c>
      <c r="J16" s="56" t="s">
        <v>140</v>
      </c>
      <c r="K16" s="56" t="s">
        <v>210</v>
      </c>
    </row>
    <row r="17" spans="2:11" s="47" customFormat="1" x14ac:dyDescent="0.2">
      <c r="B17" s="59" t="s">
        <v>141</v>
      </c>
      <c r="C17" s="59" t="s">
        <v>142</v>
      </c>
      <c r="D17" s="65">
        <v>0.3</v>
      </c>
      <c r="E17" s="70">
        <v>1</v>
      </c>
      <c r="F17" s="67">
        <f t="shared" ref="F17:F38" si="0">D17*E17</f>
        <v>0.3</v>
      </c>
      <c r="G17" s="59" t="s">
        <v>143</v>
      </c>
      <c r="H17" s="60" t="s">
        <v>144</v>
      </c>
      <c r="I17" s="59" t="s">
        <v>0</v>
      </c>
      <c r="J17" s="59" t="s">
        <v>145</v>
      </c>
      <c r="K17" s="59" t="s">
        <v>146</v>
      </c>
    </row>
    <row r="18" spans="2:11" s="47" customFormat="1" x14ac:dyDescent="0.2">
      <c r="B18" s="59" t="s">
        <v>141</v>
      </c>
      <c r="C18" s="59" t="s">
        <v>147</v>
      </c>
      <c r="D18" s="65">
        <v>4.5999999999999996</v>
      </c>
      <c r="E18" s="70">
        <v>1</v>
      </c>
      <c r="F18" s="67">
        <f t="shared" si="0"/>
        <v>4.5999999999999996</v>
      </c>
      <c r="G18" s="59" t="s">
        <v>148</v>
      </c>
      <c r="H18" s="60" t="s">
        <v>144</v>
      </c>
      <c r="I18" s="59" t="s">
        <v>149</v>
      </c>
      <c r="J18" s="59" t="s">
        <v>145</v>
      </c>
      <c r="K18" s="59"/>
    </row>
    <row r="19" spans="2:11" s="47" customFormat="1" x14ac:dyDescent="0.2">
      <c r="B19" s="59" t="s">
        <v>141</v>
      </c>
      <c r="C19" s="59" t="s">
        <v>150</v>
      </c>
      <c r="D19" s="65">
        <v>0.3</v>
      </c>
      <c r="E19" s="70">
        <v>1</v>
      </c>
      <c r="F19" s="67">
        <f t="shared" si="0"/>
        <v>0.3</v>
      </c>
      <c r="G19" s="59" t="s">
        <v>151</v>
      </c>
      <c r="H19" s="60"/>
      <c r="I19" s="59"/>
      <c r="J19" s="59"/>
      <c r="K19" s="59" t="s">
        <v>152</v>
      </c>
    </row>
    <row r="20" spans="2:11" s="47" customFormat="1" x14ac:dyDescent="0.2">
      <c r="B20" s="59" t="s">
        <v>7</v>
      </c>
      <c r="C20" s="59" t="s">
        <v>153</v>
      </c>
      <c r="D20" s="65">
        <v>102</v>
      </c>
      <c r="E20" s="70">
        <v>0.6</v>
      </c>
      <c r="F20" s="67">
        <f t="shared" si="0"/>
        <v>61.199999999999996</v>
      </c>
      <c r="G20" s="61">
        <v>90000</v>
      </c>
      <c r="H20" s="60">
        <v>0.5</v>
      </c>
      <c r="I20" s="59" t="s">
        <v>154</v>
      </c>
      <c r="J20" s="59" t="s">
        <v>155</v>
      </c>
      <c r="K20" s="59">
        <v>2019</v>
      </c>
    </row>
    <row r="21" spans="2:11" s="47" customFormat="1" x14ac:dyDescent="0.2">
      <c r="B21" s="59" t="s">
        <v>156</v>
      </c>
      <c r="C21" s="59" t="s">
        <v>157</v>
      </c>
      <c r="D21" s="65">
        <v>12.2</v>
      </c>
      <c r="E21" s="70">
        <v>1</v>
      </c>
      <c r="F21" s="67">
        <f t="shared" si="0"/>
        <v>12.2</v>
      </c>
      <c r="G21" s="61">
        <v>14000</v>
      </c>
      <c r="H21" s="60">
        <v>0.35</v>
      </c>
      <c r="I21" s="59" t="s">
        <v>158</v>
      </c>
      <c r="J21" s="59" t="s">
        <v>159</v>
      </c>
      <c r="K21" s="59">
        <v>2017</v>
      </c>
    </row>
    <row r="22" spans="2:11" s="47" customFormat="1" x14ac:dyDescent="0.2">
      <c r="B22" s="59" t="s">
        <v>160</v>
      </c>
      <c r="C22" s="59" t="s">
        <v>157</v>
      </c>
      <c r="D22" s="65">
        <f>33.6</f>
        <v>33.6</v>
      </c>
      <c r="E22" s="70">
        <v>0.5</v>
      </c>
      <c r="F22" s="67">
        <f t="shared" si="0"/>
        <v>16.8</v>
      </c>
      <c r="G22" s="61">
        <v>46500</v>
      </c>
      <c r="H22" s="60">
        <v>0.5</v>
      </c>
      <c r="I22" s="59" t="s">
        <v>161</v>
      </c>
      <c r="J22" s="59" t="s">
        <v>162</v>
      </c>
      <c r="K22" s="59">
        <v>2022</v>
      </c>
    </row>
    <row r="23" spans="2:11" s="47" customFormat="1" x14ac:dyDescent="0.2">
      <c r="B23" s="59" t="s">
        <v>163</v>
      </c>
      <c r="C23" s="59" t="s">
        <v>45</v>
      </c>
      <c r="D23" s="65">
        <v>10</v>
      </c>
      <c r="E23" s="70">
        <v>0.9</v>
      </c>
      <c r="F23" s="67">
        <f t="shared" si="0"/>
        <v>9</v>
      </c>
      <c r="G23" s="61" t="s">
        <v>164</v>
      </c>
      <c r="H23" s="60">
        <v>1</v>
      </c>
      <c r="I23" s="59" t="s">
        <v>165</v>
      </c>
      <c r="J23" s="59" t="s">
        <v>166</v>
      </c>
      <c r="K23" s="59">
        <v>2018</v>
      </c>
    </row>
    <row r="24" spans="2:11" s="47" customFormat="1" x14ac:dyDescent="0.2">
      <c r="B24" s="59" t="s">
        <v>167</v>
      </c>
      <c r="C24" s="59" t="s">
        <v>168</v>
      </c>
      <c r="D24" s="65">
        <v>14.4</v>
      </c>
      <c r="E24" s="70">
        <v>0.5</v>
      </c>
      <c r="F24" s="67">
        <f t="shared" si="0"/>
        <v>7.2</v>
      </c>
      <c r="G24" s="59" t="s">
        <v>169</v>
      </c>
      <c r="H24" s="60" t="s">
        <v>144</v>
      </c>
      <c r="I24" s="59" t="s">
        <v>170</v>
      </c>
      <c r="J24" s="59"/>
      <c r="K24" s="59" t="s">
        <v>171</v>
      </c>
    </row>
    <row r="25" spans="2:11" s="47" customFormat="1" x14ac:dyDescent="0.2">
      <c r="B25" s="59" t="s">
        <v>320</v>
      </c>
      <c r="C25" s="59" t="s">
        <v>172</v>
      </c>
      <c r="D25" s="65">
        <v>46.2</v>
      </c>
      <c r="E25" s="70">
        <v>0.36</v>
      </c>
      <c r="F25" s="67">
        <f t="shared" si="0"/>
        <v>16.632000000000001</v>
      </c>
      <c r="G25" s="61" t="s">
        <v>173</v>
      </c>
      <c r="H25" s="60">
        <v>0.5</v>
      </c>
      <c r="I25" s="59" t="s">
        <v>174</v>
      </c>
      <c r="J25" s="59" t="s">
        <v>175</v>
      </c>
      <c r="K25" s="59">
        <v>2021</v>
      </c>
    </row>
    <row r="26" spans="2:11" s="47" customFormat="1" x14ac:dyDescent="0.2">
      <c r="B26" s="59" t="s">
        <v>321</v>
      </c>
      <c r="C26" s="59" t="s">
        <v>172</v>
      </c>
      <c r="D26" s="65">
        <v>10.4</v>
      </c>
      <c r="E26" s="70">
        <v>1</v>
      </c>
      <c r="F26" s="67">
        <f t="shared" si="0"/>
        <v>10.4</v>
      </c>
      <c r="G26" s="61" t="s">
        <v>323</v>
      </c>
      <c r="H26" s="60"/>
      <c r="I26" s="59"/>
      <c r="J26" s="59"/>
      <c r="K26" s="59"/>
    </row>
    <row r="27" spans="2:11" s="47" customFormat="1" x14ac:dyDescent="0.2">
      <c r="B27" s="59" t="s">
        <v>176</v>
      </c>
      <c r="C27" s="59" t="s">
        <v>18</v>
      </c>
      <c r="D27" s="65">
        <v>14.4</v>
      </c>
      <c r="E27" s="70">
        <v>0.25</v>
      </c>
      <c r="F27" s="67">
        <f t="shared" si="0"/>
        <v>3.6</v>
      </c>
      <c r="G27" s="61" t="s">
        <v>177</v>
      </c>
      <c r="H27" s="60">
        <v>0.5</v>
      </c>
      <c r="I27" s="59" t="s">
        <v>178</v>
      </c>
      <c r="J27" s="59" t="s">
        <v>179</v>
      </c>
      <c r="K27" s="59">
        <v>2022</v>
      </c>
    </row>
    <row r="28" spans="2:11" s="47" customFormat="1" x14ac:dyDescent="0.2">
      <c r="B28" s="59" t="s">
        <v>117</v>
      </c>
      <c r="C28" s="59" t="s">
        <v>118</v>
      </c>
      <c r="D28" s="65">
        <v>9</v>
      </c>
      <c r="E28" s="70">
        <v>1</v>
      </c>
      <c r="F28" s="67">
        <f t="shared" si="0"/>
        <v>9</v>
      </c>
      <c r="G28" s="61" t="s">
        <v>180</v>
      </c>
      <c r="H28" s="60">
        <v>1</v>
      </c>
      <c r="I28" s="59" t="s">
        <v>181</v>
      </c>
      <c r="J28" s="59" t="s">
        <v>182</v>
      </c>
      <c r="K28" s="59">
        <v>2021</v>
      </c>
    </row>
    <row r="29" spans="2:11" s="47" customFormat="1" x14ac:dyDescent="0.2">
      <c r="B29" s="59" t="s">
        <v>132</v>
      </c>
      <c r="C29" s="59" t="s">
        <v>183</v>
      </c>
      <c r="D29" s="65">
        <v>18</v>
      </c>
      <c r="E29" s="70">
        <v>0.5</v>
      </c>
      <c r="F29" s="67">
        <f t="shared" si="0"/>
        <v>9</v>
      </c>
      <c r="G29" s="61">
        <v>43000</v>
      </c>
      <c r="H29" s="60">
        <v>1</v>
      </c>
      <c r="I29" s="59" t="s">
        <v>181</v>
      </c>
      <c r="J29" s="59" t="s">
        <v>182</v>
      </c>
      <c r="K29" s="59">
        <v>2021</v>
      </c>
    </row>
    <row r="30" spans="2:11" s="47" customFormat="1" x14ac:dyDescent="0.2">
      <c r="B30" s="59" t="s">
        <v>23</v>
      </c>
      <c r="C30" s="59" t="s">
        <v>24</v>
      </c>
      <c r="D30" s="65">
        <v>13.5</v>
      </c>
      <c r="E30" s="70">
        <v>1</v>
      </c>
      <c r="F30" s="67">
        <f t="shared" si="0"/>
        <v>13.5</v>
      </c>
      <c r="G30" s="61" t="s">
        <v>184</v>
      </c>
      <c r="H30" s="60">
        <v>1</v>
      </c>
      <c r="I30" s="59" t="s">
        <v>185</v>
      </c>
      <c r="J30" s="59" t="s">
        <v>186</v>
      </c>
      <c r="K30" s="59">
        <v>2021</v>
      </c>
    </row>
    <row r="31" spans="2:11" s="47" customFormat="1" x14ac:dyDescent="0.2">
      <c r="B31" s="59" t="s">
        <v>28</v>
      </c>
      <c r="C31" s="59" t="s">
        <v>187</v>
      </c>
      <c r="D31" s="65">
        <v>21</v>
      </c>
      <c r="E31" s="70">
        <v>0.25</v>
      </c>
      <c r="F31" s="67">
        <f t="shared" si="0"/>
        <v>5.25</v>
      </c>
      <c r="G31" s="61">
        <v>58000</v>
      </c>
      <c r="H31" s="60">
        <v>1</v>
      </c>
      <c r="I31" s="59" t="s">
        <v>188</v>
      </c>
      <c r="J31" s="59" t="s">
        <v>189</v>
      </c>
      <c r="K31" s="59">
        <v>2022</v>
      </c>
    </row>
    <row r="32" spans="2:11" s="47" customFormat="1" x14ac:dyDescent="0.2">
      <c r="B32" s="59" t="s">
        <v>31</v>
      </c>
      <c r="C32" s="59" t="s">
        <v>190</v>
      </c>
      <c r="D32" s="65">
        <v>8.4</v>
      </c>
      <c r="E32" s="70">
        <v>1</v>
      </c>
      <c r="F32" s="67">
        <f t="shared" si="0"/>
        <v>8.4</v>
      </c>
      <c r="G32" s="61">
        <v>120000</v>
      </c>
      <c r="H32" s="60" t="s">
        <v>144</v>
      </c>
      <c r="I32" s="59" t="s">
        <v>124</v>
      </c>
      <c r="J32" s="59" t="s">
        <v>191</v>
      </c>
      <c r="K32" s="59"/>
    </row>
    <row r="33" spans="2:11" s="47" customFormat="1" x14ac:dyDescent="0.2">
      <c r="B33" s="59" t="s">
        <v>192</v>
      </c>
      <c r="C33" s="59" t="s">
        <v>193</v>
      </c>
      <c r="D33" s="65">
        <v>7</v>
      </c>
      <c r="E33" s="70">
        <v>1</v>
      </c>
      <c r="F33" s="67">
        <f t="shared" si="0"/>
        <v>7</v>
      </c>
      <c r="G33" s="59" t="s">
        <v>194</v>
      </c>
      <c r="H33" s="60" t="s">
        <v>328</v>
      </c>
      <c r="I33" s="59" t="s">
        <v>195</v>
      </c>
      <c r="J33" s="59" t="s">
        <v>196</v>
      </c>
      <c r="K33" s="59">
        <v>2017</v>
      </c>
    </row>
    <row r="34" spans="2:11" s="47" customFormat="1" x14ac:dyDescent="0.2">
      <c r="B34" s="59" t="s">
        <v>37</v>
      </c>
      <c r="C34" s="59" t="s">
        <v>86</v>
      </c>
      <c r="D34" s="65">
        <f>9.4</f>
        <v>9.4</v>
      </c>
      <c r="E34" s="70">
        <v>0.5</v>
      </c>
      <c r="F34" s="67">
        <f t="shared" si="0"/>
        <v>4.7</v>
      </c>
      <c r="G34" s="61">
        <v>9000</v>
      </c>
      <c r="H34" s="60">
        <v>0.5</v>
      </c>
      <c r="I34" s="59" t="s">
        <v>65</v>
      </c>
      <c r="J34" s="59" t="s">
        <v>197</v>
      </c>
      <c r="K34" s="59">
        <v>2022</v>
      </c>
    </row>
    <row r="35" spans="2:11" s="47" customFormat="1" x14ac:dyDescent="0.2">
      <c r="B35" s="59" t="s">
        <v>41</v>
      </c>
      <c r="C35" s="59" t="s">
        <v>198</v>
      </c>
      <c r="D35" s="65">
        <v>2.7</v>
      </c>
      <c r="E35" s="70">
        <v>0.5</v>
      </c>
      <c r="F35" s="67">
        <f t="shared" si="0"/>
        <v>1.35</v>
      </c>
      <c r="G35" s="61" t="s">
        <v>199</v>
      </c>
      <c r="H35" s="60" t="s">
        <v>144</v>
      </c>
      <c r="I35" s="59" t="s">
        <v>144</v>
      </c>
      <c r="J35" s="59" t="s">
        <v>144</v>
      </c>
      <c r="K35" s="59" t="s">
        <v>144</v>
      </c>
    </row>
    <row r="36" spans="2:11" s="47" customFormat="1" x14ac:dyDescent="0.2">
      <c r="B36" s="59" t="s">
        <v>324</v>
      </c>
      <c r="C36" s="59" t="s">
        <v>120</v>
      </c>
      <c r="D36" s="65">
        <v>0.8</v>
      </c>
      <c r="E36" s="70">
        <v>1</v>
      </c>
      <c r="F36" s="67">
        <f t="shared" si="0"/>
        <v>0.8</v>
      </c>
      <c r="G36" s="61" t="s">
        <v>124</v>
      </c>
      <c r="H36" s="60"/>
      <c r="I36" s="59"/>
      <c r="J36" s="59"/>
      <c r="K36" s="59"/>
    </row>
    <row r="37" spans="2:11" s="47" customFormat="1" x14ac:dyDescent="0.2">
      <c r="B37" s="59" t="s">
        <v>200</v>
      </c>
      <c r="C37" s="59" t="s">
        <v>201</v>
      </c>
      <c r="D37" s="65">
        <v>1.65</v>
      </c>
      <c r="E37" s="70">
        <v>1</v>
      </c>
      <c r="F37" s="67">
        <f t="shared" si="0"/>
        <v>1.65</v>
      </c>
      <c r="G37" s="61" t="s">
        <v>124</v>
      </c>
      <c r="H37" s="60" t="s">
        <v>124</v>
      </c>
      <c r="I37" s="59" t="s">
        <v>202</v>
      </c>
      <c r="J37" s="59" t="s">
        <v>203</v>
      </c>
      <c r="K37" s="59" t="s">
        <v>124</v>
      </c>
    </row>
    <row r="38" spans="2:11" s="47" customFormat="1" x14ac:dyDescent="0.2">
      <c r="B38" s="59" t="s">
        <v>204</v>
      </c>
      <c r="C38" s="59" t="s">
        <v>85</v>
      </c>
      <c r="D38" s="65">
        <v>5.8</v>
      </c>
      <c r="E38" s="70">
        <v>1</v>
      </c>
      <c r="F38" s="67">
        <f t="shared" si="0"/>
        <v>5.8</v>
      </c>
      <c r="G38" s="59" t="s">
        <v>205</v>
      </c>
      <c r="H38" s="60">
        <v>1.5</v>
      </c>
      <c r="I38" s="59" t="s">
        <v>206</v>
      </c>
      <c r="J38" s="59" t="s">
        <v>207</v>
      </c>
      <c r="K38" s="59">
        <v>2022</v>
      </c>
    </row>
    <row r="39" spans="2:11" s="47" customFormat="1" x14ac:dyDescent="0.2">
      <c r="B39" s="59"/>
      <c r="C39" s="59"/>
      <c r="D39" s="65"/>
      <c r="E39" s="70"/>
      <c r="F39" s="67"/>
      <c r="G39" s="59"/>
      <c r="H39" s="60"/>
      <c r="I39" s="71"/>
      <c r="J39" s="59"/>
      <c r="K39" s="59"/>
    </row>
    <row r="40" spans="2:11" s="47" customFormat="1" x14ac:dyDescent="0.2">
      <c r="B40" s="59"/>
      <c r="C40" s="59"/>
      <c r="D40" s="65"/>
      <c r="E40" s="70"/>
      <c r="F40" s="67"/>
      <c r="G40" s="59"/>
      <c r="H40" s="60"/>
      <c r="I40" s="71"/>
      <c r="J40" s="59"/>
      <c r="K40" s="59"/>
    </row>
    <row r="41" spans="2:11" s="47" customFormat="1" x14ac:dyDescent="0.2">
      <c r="B41" s="84" t="s">
        <v>277</v>
      </c>
      <c r="C41" s="59"/>
      <c r="D41" s="65"/>
      <c r="E41" s="70"/>
      <c r="F41" s="67"/>
      <c r="G41" s="59"/>
      <c r="H41" s="60"/>
      <c r="I41" s="71"/>
      <c r="J41" s="59"/>
      <c r="K41" s="59"/>
    </row>
    <row r="42" spans="2:11" s="93" customFormat="1" x14ac:dyDescent="0.25">
      <c r="B42" s="85" t="s">
        <v>67</v>
      </c>
      <c r="C42" s="86" t="s">
        <v>230</v>
      </c>
      <c r="D42" s="87">
        <v>13</v>
      </c>
      <c r="E42" s="88">
        <v>0</v>
      </c>
      <c r="F42" s="89">
        <f>D42*E42</f>
        <v>0</v>
      </c>
      <c r="G42" s="90" t="s">
        <v>363</v>
      </c>
      <c r="H42" s="91" t="s">
        <v>327</v>
      </c>
      <c r="I42" s="92" t="s">
        <v>348</v>
      </c>
      <c r="J42" s="85" t="s">
        <v>325</v>
      </c>
      <c r="K42" s="85">
        <v>2023</v>
      </c>
    </row>
    <row r="43" spans="2:11" s="93" customFormat="1" x14ac:dyDescent="0.2">
      <c r="B43" s="86" t="s">
        <v>358</v>
      </c>
      <c r="C43" s="86" t="s">
        <v>263</v>
      </c>
      <c r="D43" s="87">
        <v>2.5339999999999998</v>
      </c>
      <c r="E43" s="88">
        <v>1</v>
      </c>
      <c r="F43" s="89">
        <f>D43*E43</f>
        <v>2.5339999999999998</v>
      </c>
      <c r="G43" s="90" t="s">
        <v>361</v>
      </c>
      <c r="H43" s="94">
        <v>4.4000000000000004</v>
      </c>
      <c r="I43" s="85" t="s">
        <v>347</v>
      </c>
      <c r="J43" s="85" t="s">
        <v>325</v>
      </c>
      <c r="K43" s="85">
        <v>2023</v>
      </c>
    </row>
    <row r="44" spans="2:11" s="93" customFormat="1" x14ac:dyDescent="0.2">
      <c r="B44" s="85" t="s">
        <v>359</v>
      </c>
      <c r="C44" s="86" t="s">
        <v>263</v>
      </c>
      <c r="D44" s="87">
        <v>2.2480000000000002</v>
      </c>
      <c r="E44" s="88">
        <v>1</v>
      </c>
      <c r="F44" s="89">
        <f>D44*E44</f>
        <v>2.2480000000000002</v>
      </c>
      <c r="G44" s="90" t="s">
        <v>362</v>
      </c>
      <c r="H44" s="94">
        <v>4.4000000000000004</v>
      </c>
      <c r="I44" s="85" t="s">
        <v>360</v>
      </c>
      <c r="J44" s="85" t="s">
        <v>325</v>
      </c>
      <c r="K44" s="85">
        <v>2022</v>
      </c>
    </row>
    <row r="45" spans="2:11" s="93" customFormat="1" x14ac:dyDescent="0.2">
      <c r="B45" s="86" t="s">
        <v>226</v>
      </c>
      <c r="C45" s="86" t="s">
        <v>227</v>
      </c>
      <c r="D45" s="95">
        <v>9.5</v>
      </c>
      <c r="E45" s="96">
        <v>0.5</v>
      </c>
      <c r="F45" s="89">
        <f>D45*E45</f>
        <v>4.75</v>
      </c>
      <c r="G45" s="90" t="s">
        <v>350</v>
      </c>
      <c r="H45" s="91"/>
      <c r="I45" s="85"/>
      <c r="J45" s="85"/>
      <c r="K45" s="85"/>
    </row>
    <row r="46" spans="2:11" s="93" customFormat="1" x14ac:dyDescent="0.2">
      <c r="B46" s="86" t="s">
        <v>276</v>
      </c>
      <c r="C46" s="86" t="s">
        <v>232</v>
      </c>
      <c r="D46" s="95">
        <v>10</v>
      </c>
      <c r="E46" s="96">
        <v>0.1</v>
      </c>
      <c r="F46" s="89">
        <f>D46*E46</f>
        <v>1</v>
      </c>
      <c r="G46" s="90" t="s">
        <v>350</v>
      </c>
      <c r="H46" s="91"/>
      <c r="I46" s="85"/>
      <c r="J46" s="85"/>
      <c r="K46" s="85"/>
    </row>
    <row r="47" spans="2:11" s="93" customFormat="1" x14ac:dyDescent="0.2">
      <c r="B47" s="86" t="s">
        <v>252</v>
      </c>
      <c r="C47" s="86" t="s">
        <v>275</v>
      </c>
      <c r="D47" s="95">
        <v>36</v>
      </c>
      <c r="E47" s="96">
        <v>0.5</v>
      </c>
      <c r="F47" s="89">
        <f t="shared" ref="F47:F59" si="1">D47*E47</f>
        <v>18</v>
      </c>
      <c r="G47" s="91" t="s">
        <v>337</v>
      </c>
      <c r="H47" s="91"/>
      <c r="I47" s="85" t="s">
        <v>338</v>
      </c>
      <c r="J47" s="85" t="s">
        <v>339</v>
      </c>
      <c r="K47" s="85">
        <v>2025</v>
      </c>
    </row>
    <row r="48" spans="2:11" s="93" customFormat="1" x14ac:dyDescent="0.2">
      <c r="B48" s="86" t="s">
        <v>253</v>
      </c>
      <c r="C48" s="86" t="s">
        <v>274</v>
      </c>
      <c r="D48" s="95">
        <v>21.344000000000001</v>
      </c>
      <c r="E48" s="96">
        <v>0.51</v>
      </c>
      <c r="F48" s="89">
        <f t="shared" si="1"/>
        <v>10.885440000000001</v>
      </c>
      <c r="G48" s="90" t="s">
        <v>350</v>
      </c>
      <c r="H48" s="91"/>
      <c r="I48" s="85"/>
      <c r="J48" s="85"/>
      <c r="K48" s="85"/>
    </row>
    <row r="49" spans="2:11" s="93" customFormat="1" x14ac:dyDescent="0.2">
      <c r="B49" s="86" t="s">
        <v>254</v>
      </c>
      <c r="C49" s="86" t="s">
        <v>273</v>
      </c>
      <c r="D49" s="95">
        <v>21.135999999999999</v>
      </c>
      <c r="E49" s="96">
        <v>0.5</v>
      </c>
      <c r="F49" s="89">
        <f t="shared" si="1"/>
        <v>10.568</v>
      </c>
      <c r="G49" s="90" t="s">
        <v>350</v>
      </c>
      <c r="H49" s="91"/>
      <c r="I49" s="85"/>
      <c r="J49" s="85"/>
      <c r="K49" s="85"/>
    </row>
    <row r="50" spans="2:11" s="93" customFormat="1" x14ac:dyDescent="0.2">
      <c r="B50" s="86" t="s">
        <v>255</v>
      </c>
      <c r="C50" s="86" t="s">
        <v>272</v>
      </c>
      <c r="D50" s="95">
        <v>12.8</v>
      </c>
      <c r="E50" s="96">
        <v>0.5</v>
      </c>
      <c r="F50" s="89">
        <f t="shared" si="1"/>
        <v>6.4</v>
      </c>
      <c r="G50" s="90" t="s">
        <v>305</v>
      </c>
      <c r="H50" s="91"/>
      <c r="I50" s="85" t="s">
        <v>351</v>
      </c>
      <c r="J50" s="85"/>
      <c r="K50" s="85"/>
    </row>
    <row r="51" spans="2:11" s="93" customFormat="1" x14ac:dyDescent="0.2">
      <c r="B51" s="86" t="s">
        <v>313</v>
      </c>
      <c r="C51" s="86" t="s">
        <v>271</v>
      </c>
      <c r="D51" s="95">
        <v>23.524000000000001</v>
      </c>
      <c r="E51" s="96">
        <v>0.11</v>
      </c>
      <c r="F51" s="89">
        <f t="shared" si="1"/>
        <v>2.5876399999999999</v>
      </c>
      <c r="G51" s="90" t="s">
        <v>352</v>
      </c>
      <c r="H51" s="91"/>
      <c r="I51" s="85" t="s">
        <v>13</v>
      </c>
      <c r="J51" s="85" t="s">
        <v>353</v>
      </c>
      <c r="K51" s="85"/>
    </row>
    <row r="52" spans="2:11" s="93" customFormat="1" x14ac:dyDescent="0.25">
      <c r="B52" s="86" t="s">
        <v>302</v>
      </c>
      <c r="C52" s="86" t="s">
        <v>24</v>
      </c>
      <c r="D52" s="95">
        <v>2.25</v>
      </c>
      <c r="E52" s="96">
        <v>1</v>
      </c>
      <c r="F52" s="89">
        <f t="shared" si="1"/>
        <v>2.25</v>
      </c>
      <c r="G52" s="90" t="s">
        <v>305</v>
      </c>
      <c r="H52" s="91"/>
      <c r="I52" s="85" t="s">
        <v>13</v>
      </c>
      <c r="J52" s="92" t="s">
        <v>340</v>
      </c>
      <c r="K52" s="85"/>
    </row>
    <row r="53" spans="2:11" s="93" customFormat="1" x14ac:dyDescent="0.2">
      <c r="B53" s="86" t="s">
        <v>266</v>
      </c>
      <c r="C53" s="86" t="s">
        <v>270</v>
      </c>
      <c r="D53" s="95">
        <v>1.885</v>
      </c>
      <c r="E53" s="96">
        <v>1</v>
      </c>
      <c r="F53" s="89">
        <f t="shared" si="1"/>
        <v>1.885</v>
      </c>
      <c r="G53" s="90" t="s">
        <v>350</v>
      </c>
      <c r="H53" s="91"/>
      <c r="I53" s="85"/>
      <c r="J53" s="85"/>
      <c r="K53" s="85"/>
    </row>
    <row r="54" spans="2:11" s="93" customFormat="1" x14ac:dyDescent="0.25">
      <c r="B54" s="86" t="s">
        <v>292</v>
      </c>
      <c r="C54" s="86" t="s">
        <v>230</v>
      </c>
      <c r="D54" s="95">
        <v>18.100000000000001</v>
      </c>
      <c r="E54" s="96">
        <v>0.06</v>
      </c>
      <c r="F54" s="89">
        <f t="shared" si="1"/>
        <v>1.0860000000000001</v>
      </c>
      <c r="G54" s="90" t="s">
        <v>305</v>
      </c>
      <c r="H54" s="91"/>
      <c r="I54" s="92" t="s">
        <v>348</v>
      </c>
      <c r="J54" s="85" t="s">
        <v>325</v>
      </c>
      <c r="K54" s="85"/>
    </row>
    <row r="55" spans="2:11" s="93" customFormat="1" x14ac:dyDescent="0.2">
      <c r="B55" s="86" t="s">
        <v>267</v>
      </c>
      <c r="C55" s="86" t="s">
        <v>290</v>
      </c>
      <c r="D55" s="95">
        <v>17.7</v>
      </c>
      <c r="E55" s="96">
        <v>0.2</v>
      </c>
      <c r="F55" s="89">
        <f t="shared" si="1"/>
        <v>3.54</v>
      </c>
      <c r="G55" s="90" t="s">
        <v>350</v>
      </c>
      <c r="H55" s="91"/>
      <c r="I55" s="85"/>
      <c r="J55" s="85"/>
      <c r="K55" s="85"/>
    </row>
    <row r="56" spans="2:11" s="93" customFormat="1" x14ac:dyDescent="0.2">
      <c r="B56" s="86" t="s">
        <v>268</v>
      </c>
      <c r="C56" s="86" t="s">
        <v>269</v>
      </c>
      <c r="D56" s="95">
        <v>2.65</v>
      </c>
      <c r="E56" s="96">
        <v>0.19</v>
      </c>
      <c r="F56" s="89">
        <f t="shared" si="1"/>
        <v>0.50349999999999995</v>
      </c>
      <c r="G56" s="90" t="s">
        <v>350</v>
      </c>
      <c r="H56" s="91"/>
      <c r="I56" s="85"/>
      <c r="J56" s="85"/>
      <c r="K56" s="85"/>
    </row>
    <row r="57" spans="2:11" s="93" customFormat="1" x14ac:dyDescent="0.2">
      <c r="B57" s="86" t="s">
        <v>316</v>
      </c>
      <c r="C57" s="86" t="s">
        <v>264</v>
      </c>
      <c r="D57" s="95">
        <v>8.16</v>
      </c>
      <c r="E57" s="96">
        <v>0.17</v>
      </c>
      <c r="F57" s="89">
        <f t="shared" si="1"/>
        <v>1.3872000000000002</v>
      </c>
      <c r="G57" s="90" t="s">
        <v>350</v>
      </c>
      <c r="H57" s="91"/>
      <c r="I57" s="85"/>
      <c r="J57" s="85"/>
      <c r="K57" s="85"/>
    </row>
    <row r="58" spans="2:11" s="93" customFormat="1" x14ac:dyDescent="0.2">
      <c r="B58" s="86" t="s">
        <v>317</v>
      </c>
      <c r="C58" s="86" t="s">
        <v>265</v>
      </c>
      <c r="D58" s="95">
        <v>30</v>
      </c>
      <c r="E58" s="96">
        <v>1.4999999999999999E-2</v>
      </c>
      <c r="F58" s="89">
        <f t="shared" si="1"/>
        <v>0.44999999999999996</v>
      </c>
      <c r="G58" s="90" t="s">
        <v>350</v>
      </c>
      <c r="H58" s="91"/>
      <c r="I58" s="85"/>
      <c r="J58" s="85"/>
      <c r="K58" s="85"/>
    </row>
    <row r="59" spans="2:11" s="93" customFormat="1" x14ac:dyDescent="0.2">
      <c r="B59" s="86" t="s">
        <v>357</v>
      </c>
      <c r="C59" s="86" t="s">
        <v>263</v>
      </c>
      <c r="D59" s="95">
        <v>0.48199999999999998</v>
      </c>
      <c r="E59" s="96">
        <v>1</v>
      </c>
      <c r="F59" s="89">
        <f t="shared" si="1"/>
        <v>0.48199999999999998</v>
      </c>
      <c r="G59" s="90" t="s">
        <v>356</v>
      </c>
      <c r="H59" s="91"/>
      <c r="I59" s="85" t="s">
        <v>347</v>
      </c>
      <c r="J59" s="85"/>
      <c r="K59" s="85"/>
    </row>
    <row r="60" spans="2:11" s="93" customFormat="1" x14ac:dyDescent="0.2">
      <c r="B60" s="86" t="s">
        <v>257</v>
      </c>
      <c r="C60" s="86" t="s">
        <v>262</v>
      </c>
      <c r="D60" s="95"/>
      <c r="E60" s="96"/>
      <c r="F60" s="89"/>
      <c r="G60" s="90" t="s">
        <v>350</v>
      </c>
      <c r="H60" s="91"/>
      <c r="I60" s="85"/>
      <c r="J60" s="85"/>
      <c r="K60" s="85"/>
    </row>
    <row r="61" spans="2:11" s="93" customFormat="1" x14ac:dyDescent="0.2">
      <c r="B61" s="86" t="s">
        <v>258</v>
      </c>
      <c r="C61" s="86" t="s">
        <v>261</v>
      </c>
      <c r="D61" s="95"/>
      <c r="E61" s="96"/>
      <c r="F61" s="89"/>
      <c r="G61" s="90" t="s">
        <v>350</v>
      </c>
      <c r="H61" s="91"/>
      <c r="I61" s="85"/>
      <c r="J61" s="85"/>
      <c r="K61" s="85"/>
    </row>
    <row r="62" spans="2:11" s="93" customFormat="1" x14ac:dyDescent="0.2">
      <c r="B62" s="86" t="s">
        <v>259</v>
      </c>
      <c r="C62" s="86" t="s">
        <v>260</v>
      </c>
      <c r="D62" s="95"/>
      <c r="E62" s="96"/>
      <c r="F62" s="89"/>
      <c r="G62" s="90" t="s">
        <v>350</v>
      </c>
      <c r="H62" s="91"/>
      <c r="I62" s="85"/>
      <c r="J62" s="85"/>
      <c r="K62" s="85"/>
    </row>
    <row r="63" spans="2:11" s="93" customFormat="1" x14ac:dyDescent="0.2">
      <c r="B63" s="86" t="s">
        <v>341</v>
      </c>
      <c r="C63" s="86" t="s">
        <v>344</v>
      </c>
      <c r="D63" s="95">
        <v>61.6</v>
      </c>
      <c r="E63" s="96">
        <v>0</v>
      </c>
      <c r="F63" s="89">
        <v>0</v>
      </c>
      <c r="G63" s="90" t="s">
        <v>342</v>
      </c>
      <c r="H63" s="94">
        <v>1.8</v>
      </c>
      <c r="I63" s="85" t="s">
        <v>349</v>
      </c>
      <c r="J63" s="85"/>
      <c r="K63" s="85"/>
    </row>
    <row r="64" spans="2:11" s="93" customFormat="1" x14ac:dyDescent="0.2">
      <c r="B64" s="97" t="s">
        <v>343</v>
      </c>
      <c r="C64" s="97" t="s">
        <v>345</v>
      </c>
      <c r="D64" s="98">
        <v>35.792999999999999</v>
      </c>
      <c r="E64" s="99">
        <v>0</v>
      </c>
      <c r="F64" s="89">
        <v>0</v>
      </c>
      <c r="G64" s="100" t="s">
        <v>346</v>
      </c>
      <c r="H64" s="101" t="s">
        <v>355</v>
      </c>
      <c r="I64" s="97" t="s">
        <v>13</v>
      </c>
      <c r="J64" s="85"/>
      <c r="K64" s="85"/>
    </row>
    <row r="65" spans="2:11" s="47" customFormat="1" x14ac:dyDescent="0.2">
      <c r="B65" s="59"/>
      <c r="C65" s="59"/>
      <c r="D65" s="65"/>
      <c r="E65" s="70"/>
      <c r="F65" s="67"/>
      <c r="G65" s="61"/>
      <c r="H65" s="60"/>
      <c r="I65" s="59"/>
      <c r="J65" s="59"/>
      <c r="K65" s="59"/>
    </row>
    <row r="66" spans="2:11" s="47" customFormat="1" x14ac:dyDescent="0.2">
      <c r="B66" s="59"/>
      <c r="C66" s="59"/>
      <c r="D66" s="65"/>
      <c r="E66" s="70"/>
      <c r="F66" s="67"/>
      <c r="G66" s="61"/>
      <c r="H66" s="60"/>
      <c r="I66" s="59"/>
      <c r="J66" s="59"/>
      <c r="K66" s="59"/>
    </row>
    <row r="67" spans="2:11" s="47" customFormat="1" x14ac:dyDescent="0.2">
      <c r="B67" s="59"/>
      <c r="C67" s="59"/>
      <c r="D67" s="65"/>
      <c r="E67" s="70"/>
      <c r="F67" s="67"/>
      <c r="G67" s="61"/>
      <c r="H67" s="60"/>
      <c r="I67" s="59"/>
      <c r="J67" s="59"/>
      <c r="K67" s="59"/>
    </row>
    <row r="68" spans="2:11" s="47" customFormat="1" x14ac:dyDescent="0.2">
      <c r="B68" s="59"/>
      <c r="C68" s="59"/>
      <c r="D68" s="65"/>
      <c r="E68" s="70"/>
      <c r="F68" s="67"/>
      <c r="G68" s="61"/>
      <c r="H68" s="60"/>
      <c r="I68" s="59"/>
      <c r="J68" s="59"/>
      <c r="K68" s="59"/>
    </row>
    <row r="69" spans="2:11" s="47" customFormat="1" x14ac:dyDescent="0.2">
      <c r="B69" s="59"/>
      <c r="C69" s="59"/>
      <c r="D69" s="65"/>
      <c r="E69" s="70"/>
      <c r="F69" s="67"/>
      <c r="G69" s="61"/>
      <c r="H69" s="60"/>
      <c r="I69" s="59"/>
      <c r="J69" s="59"/>
      <c r="K69" s="59"/>
    </row>
    <row r="70" spans="2:11" s="47" customFormat="1" x14ac:dyDescent="0.2">
      <c r="B70" s="59"/>
      <c r="C70" s="59"/>
      <c r="D70" s="65"/>
      <c r="E70" s="70"/>
      <c r="F70" s="67"/>
      <c r="G70" s="61"/>
      <c r="H70" s="60"/>
      <c r="I70" s="59"/>
      <c r="J70" s="59"/>
      <c r="K70" s="59"/>
    </row>
    <row r="71" spans="2:11" s="47" customFormat="1" x14ac:dyDescent="0.2">
      <c r="B71" s="59"/>
      <c r="C71" s="59"/>
      <c r="D71" s="65"/>
      <c r="E71" s="70"/>
      <c r="F71" s="67"/>
      <c r="G71" s="61"/>
      <c r="H71" s="60"/>
      <c r="I71" s="59"/>
      <c r="J71" s="59"/>
      <c r="K71" s="59"/>
    </row>
    <row r="72" spans="2:11" s="47" customFormat="1" x14ac:dyDescent="0.2">
      <c r="B72" s="59"/>
      <c r="C72" s="59"/>
      <c r="D72" s="65"/>
      <c r="E72" s="70"/>
      <c r="F72" s="67"/>
      <c r="G72" s="61"/>
      <c r="H72" s="60"/>
      <c r="I72" s="59"/>
      <c r="J72" s="59"/>
      <c r="K72" s="59"/>
    </row>
    <row r="73" spans="2:11" s="47" customFormat="1" x14ac:dyDescent="0.2">
      <c r="B73" s="59"/>
      <c r="C73" s="59"/>
      <c r="D73" s="65"/>
      <c r="E73" s="70"/>
      <c r="F73" s="67"/>
      <c r="G73" s="61"/>
      <c r="H73" s="60"/>
      <c r="I73" s="59"/>
      <c r="J73" s="59"/>
      <c r="K73" s="59"/>
    </row>
    <row r="74" spans="2:11" s="47" customFormat="1" x14ac:dyDescent="0.2">
      <c r="B74" s="59"/>
      <c r="C74" s="59"/>
      <c r="D74" s="65"/>
      <c r="E74" s="70"/>
      <c r="F74" s="67"/>
      <c r="G74" s="61"/>
      <c r="H74" s="60"/>
      <c r="I74" s="59"/>
      <c r="J74" s="59"/>
      <c r="K74" s="59"/>
    </row>
    <row r="75" spans="2:11" s="47" customFormat="1" x14ac:dyDescent="0.2">
      <c r="B75" s="59"/>
      <c r="C75" s="59"/>
      <c r="D75" s="65"/>
      <c r="E75" s="70"/>
      <c r="F75" s="67"/>
      <c r="G75" s="59"/>
      <c r="H75" s="60"/>
      <c r="I75" s="59"/>
      <c r="J75" s="59"/>
      <c r="K75" s="59"/>
    </row>
    <row r="76" spans="2:11" x14ac:dyDescent="0.25">
      <c r="H76" s="3"/>
    </row>
    <row r="77" spans="2:11" x14ac:dyDescent="0.25">
      <c r="H77" s="3"/>
    </row>
    <row r="78" spans="2:11" x14ac:dyDescent="0.25">
      <c r="H78" s="3"/>
    </row>
    <row r="79" spans="2:11" x14ac:dyDescent="0.25">
      <c r="H79" s="3"/>
    </row>
    <row r="80" spans="2:11" x14ac:dyDescent="0.25">
      <c r="H80" s="3"/>
    </row>
  </sheetData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a86fed-8fa0-42d4-8553-fc31690fed78">
      <Terms xmlns="http://schemas.microsoft.com/office/infopath/2007/PartnerControls"/>
    </lcf76f155ced4ddcb4097134ff3c332f>
    <TaxCatchAll xmlns="b713c283-f381-4173-85fc-f093847daf9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8C0F7BD6C1EC4E868C6448BFF03B41" ma:contentTypeVersion="15" ma:contentTypeDescription="Een nieuw document maken." ma:contentTypeScope="" ma:versionID="b0e7412ba0ceea294101d6b1eba0a9d8">
  <xsd:schema xmlns:xsd="http://www.w3.org/2001/XMLSchema" xmlns:xs="http://www.w3.org/2001/XMLSchema" xmlns:p="http://schemas.microsoft.com/office/2006/metadata/properties" xmlns:ns2="c6a86fed-8fa0-42d4-8553-fc31690fed78" xmlns:ns3="b713c283-f381-4173-85fc-f093847daf94" targetNamespace="http://schemas.microsoft.com/office/2006/metadata/properties" ma:root="true" ma:fieldsID="1dc6a547ff2b1a02a00781ae410dd328" ns2:_="" ns3:_="">
    <xsd:import namespace="c6a86fed-8fa0-42d4-8553-fc31690fed78"/>
    <xsd:import namespace="b713c283-f381-4173-85fc-f093847daf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a86fed-8fa0-42d4-8553-fc31690fed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Afbeeldingtags" ma:readOnly="false" ma:fieldId="{5cf76f15-5ced-4ddc-b409-7134ff3c332f}" ma:taxonomyMulti="true" ma:sspId="008f045e-f90b-4b3e-958e-3600deb914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13c283-f381-4173-85fc-f093847daf9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913f4ea7-0d74-4cbc-83e3-3dc6dc3bf0e0}" ma:internalName="TaxCatchAll" ma:showField="CatchAllData" ma:web="b713c283-f381-4173-85fc-f093847daf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6529DEC-E8DE-48F7-BCCC-00A80B403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065C8B-A09A-4815-ADB4-C1EDB4ECB14F}">
  <ds:schemaRefs>
    <ds:schemaRef ds:uri="http://purl.org/dc/elements/1.1/"/>
    <ds:schemaRef ds:uri="http://purl.org/dc/terms/"/>
    <ds:schemaRef ds:uri="http://www.w3.org/XML/1998/namespace"/>
    <ds:schemaRef ds:uri="http://schemas.microsoft.com/office/2006/documentManagement/types"/>
    <ds:schemaRef ds:uri="56cb1487-e4c7-4649-8512-5038cdae357a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cda404f8-477b-4c47-aaf5-9e301aea4b52"/>
    <ds:schemaRef ds:uri="c6a86fed-8fa0-42d4-8553-fc31690fed78"/>
    <ds:schemaRef ds:uri="b713c283-f381-4173-85fc-f093847daf94"/>
  </ds:schemaRefs>
</ds:datastoreItem>
</file>

<file path=customXml/itemProps3.xml><?xml version="1.0" encoding="utf-8"?>
<ds:datastoreItem xmlns:ds="http://schemas.openxmlformats.org/officeDocument/2006/customXml" ds:itemID="{7E90882E-4688-4C7A-B038-951C8BD6C4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a86fed-8fa0-42d4-8553-fc31690fed78"/>
    <ds:schemaRef ds:uri="b713c283-f381-4173-85fc-f093847daf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3</vt:i4>
      </vt:variant>
    </vt:vector>
  </HeadingPairs>
  <TitlesOfParts>
    <vt:vector size="5" baseType="lpstr">
      <vt:lpstr>Steekproef geld van leden</vt:lpstr>
      <vt:lpstr>Steekproef omgevingsfondsen</vt:lpstr>
      <vt:lpstr>'Steekproef geld van leden'!Afdrukbereik</vt:lpstr>
      <vt:lpstr>'Steekproef omgevingsfondsen'!Afdrukbereik</vt:lpstr>
      <vt:lpstr>'Steekproef geld van leden'!Afdruktitels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Tijmen Klip</dc:creator>
  <cp:lastModifiedBy>Anne Marieke Schwencke</cp:lastModifiedBy>
  <cp:lastPrinted>2024-08-12T09:35:55Z</cp:lastPrinted>
  <dcterms:created xsi:type="dcterms:W3CDTF">2022-03-21T10:36:56Z</dcterms:created>
  <dcterms:modified xsi:type="dcterms:W3CDTF">2025-02-26T07:31:47Z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0x010100708C0F7BD6C1EC4E868C6448BFF03B41</vt:lpwstr>
  </property>
</Properties>
</file>